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4\"/>
    </mc:Choice>
  </mc:AlternateContent>
  <xr:revisionPtr revIDLastSave="0" documentId="8_{1B0B3CD2-8F4F-4DE7-B5C3-E27562914133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Mats+Insumos" sheetId="1" r:id="rId1"/>
    <sheet name="Matriz E-S" sheetId="2" r:id="rId2"/>
    <sheet name="Para Rocio Cierre" sheetId="4" r:id="rId3"/>
    <sheet name="Hoja3" sheetId="7" r:id="rId4"/>
    <sheet name="Hoja1" sheetId="6" r:id="rId5"/>
    <sheet name="Hoja2" sheetId="5" r:id="rId6"/>
  </sheets>
  <definedNames>
    <definedName name="_xlnm._FilterDatabase" localSheetId="0" hidden="1">'Mats+Insumos'!$B$7:$O$178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0" i="4" l="1"/>
  <c r="I142" i="4"/>
  <c r="I139" i="4"/>
  <c r="L77" i="4" l="1"/>
  <c r="L68" i="4"/>
  <c r="I32" i="4"/>
  <c r="L32" i="4" s="1"/>
  <c r="I67" i="4"/>
  <c r="L67" i="4" s="1"/>
  <c r="L69" i="4"/>
  <c r="L70" i="4"/>
  <c r="L71" i="4"/>
  <c r="L72" i="4"/>
  <c r="L73" i="4"/>
  <c r="L74" i="4"/>
  <c r="L75" i="4"/>
  <c r="L76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3" i="4"/>
  <c r="L144" i="4"/>
  <c r="L146" i="4"/>
  <c r="L147" i="4"/>
  <c r="L148" i="4"/>
  <c r="L149" i="4"/>
  <c r="L150" i="4"/>
  <c r="L151" i="4"/>
  <c r="L152" i="4"/>
  <c r="L153" i="4"/>
  <c r="L167" i="4"/>
  <c r="L173" i="4"/>
  <c r="L174" i="4"/>
  <c r="L175" i="4"/>
  <c r="L176" i="4"/>
  <c r="L177" i="4"/>
  <c r="L178" i="4"/>
  <c r="L181" i="4"/>
  <c r="L182" i="4"/>
  <c r="L183" i="4"/>
  <c r="L184" i="4"/>
  <c r="L185" i="4"/>
  <c r="L186" i="4"/>
  <c r="L189" i="4"/>
  <c r="L190" i="4"/>
  <c r="I66" i="4"/>
  <c r="L66" i="4" s="1"/>
  <c r="I65" i="4"/>
  <c r="L65" i="4" s="1"/>
  <c r="L64" i="4"/>
  <c r="I8" i="4"/>
  <c r="L31" i="4"/>
  <c r="L30" i="4"/>
  <c r="L29" i="4"/>
  <c r="L26" i="4"/>
  <c r="L34" i="4" l="1"/>
  <c r="L59" i="4"/>
  <c r="I9" i="4"/>
  <c r="L9" i="4" s="1"/>
  <c r="I10" i="4"/>
  <c r="L10" i="4" s="1"/>
  <c r="I11" i="4"/>
  <c r="L11" i="4" s="1"/>
  <c r="I12" i="4"/>
  <c r="L12" i="4" s="1"/>
  <c r="I13" i="4"/>
  <c r="L13" i="4" s="1"/>
  <c r="I14" i="4"/>
  <c r="L14" i="4" s="1"/>
  <c r="I15" i="4"/>
  <c r="L15" i="4" s="1"/>
  <c r="I16" i="4"/>
  <c r="L16" i="4" s="1"/>
  <c r="I17" i="4"/>
  <c r="L17" i="4" s="1"/>
  <c r="I18" i="4"/>
  <c r="L18" i="4" s="1"/>
  <c r="I19" i="4"/>
  <c r="L19" i="4" s="1"/>
  <c r="I20" i="4"/>
  <c r="L20" i="4" s="1"/>
  <c r="I21" i="4"/>
  <c r="L21" i="4" s="1"/>
  <c r="I22" i="4"/>
  <c r="L22" i="4" s="1"/>
  <c r="I23" i="4"/>
  <c r="L23" i="4" s="1"/>
  <c r="I24" i="4"/>
  <c r="L24" i="4" s="1"/>
  <c r="I25" i="4"/>
  <c r="I33" i="4"/>
  <c r="L33" i="4" s="1"/>
  <c r="I35" i="4"/>
  <c r="L35" i="4" s="1"/>
  <c r="I36" i="4"/>
  <c r="L36" i="4" s="1"/>
  <c r="I37" i="4"/>
  <c r="L37" i="4" s="1"/>
  <c r="I38" i="4"/>
  <c r="L38" i="4" s="1"/>
  <c r="I39" i="4"/>
  <c r="L39" i="4" s="1"/>
  <c r="I40" i="4"/>
  <c r="L40" i="4" s="1"/>
  <c r="I41" i="4"/>
  <c r="L41" i="4" s="1"/>
  <c r="I42" i="4"/>
  <c r="L42" i="4" s="1"/>
  <c r="I43" i="4"/>
  <c r="L43" i="4" s="1"/>
  <c r="I44" i="4"/>
  <c r="L44" i="4" s="1"/>
  <c r="I45" i="4"/>
  <c r="L45" i="4" s="1"/>
  <c r="I46" i="4"/>
  <c r="L46" i="4" s="1"/>
  <c r="I47" i="4"/>
  <c r="L47" i="4" s="1"/>
  <c r="I48" i="4"/>
  <c r="L48" i="4" s="1"/>
  <c r="I49" i="4"/>
  <c r="L49" i="4" s="1"/>
  <c r="I50" i="4"/>
  <c r="L50" i="4" s="1"/>
  <c r="I51" i="4"/>
  <c r="L51" i="4" s="1"/>
  <c r="I52" i="4"/>
  <c r="L52" i="4" s="1"/>
  <c r="I53" i="4"/>
  <c r="L53" i="4" s="1"/>
  <c r="I54" i="4"/>
  <c r="L54" i="4" s="1"/>
  <c r="I55" i="4"/>
  <c r="L55" i="4" s="1"/>
  <c r="I56" i="4"/>
  <c r="L56" i="4" s="1"/>
  <c r="I57" i="4"/>
  <c r="L57" i="4" s="1"/>
  <c r="I58" i="4"/>
  <c r="L58" i="4" s="1"/>
  <c r="I60" i="4"/>
  <c r="L60" i="4" s="1"/>
  <c r="I61" i="4"/>
  <c r="L61" i="4" s="1"/>
  <c r="I62" i="4"/>
  <c r="L62" i="4" s="1"/>
  <c r="I63" i="4"/>
  <c r="L63" i="4" s="1"/>
  <c r="I124" i="4"/>
  <c r="L124" i="4" s="1"/>
  <c r="I125" i="4"/>
  <c r="L125" i="4" s="1"/>
  <c r="I126" i="4"/>
  <c r="L126" i="4" s="1"/>
  <c r="L142" i="4"/>
  <c r="L145" i="4"/>
  <c r="L154" i="4"/>
  <c r="L155" i="4"/>
  <c r="L156" i="4"/>
  <c r="I157" i="4"/>
  <c r="L157" i="4" s="1"/>
  <c r="L158" i="4"/>
  <c r="L159" i="4"/>
  <c r="L160" i="4"/>
  <c r="L161" i="4"/>
  <c r="L162" i="4"/>
  <c r="I163" i="4"/>
  <c r="L163" i="4" s="1"/>
  <c r="L164" i="4"/>
  <c r="L165" i="4"/>
  <c r="L166" i="4"/>
  <c r="L168" i="4"/>
  <c r="L169" i="4"/>
  <c r="L170" i="4"/>
  <c r="L171" i="4"/>
  <c r="I172" i="4"/>
  <c r="L172" i="4" s="1"/>
  <c r="L179" i="4"/>
  <c r="I187" i="4"/>
  <c r="L187" i="4" s="1"/>
  <c r="I188" i="4"/>
  <c r="L188" i="4" s="1"/>
  <c r="P171" i="2"/>
  <c r="P175" i="2"/>
  <c r="O60" i="2"/>
  <c r="O70" i="2"/>
  <c r="O9" i="2"/>
  <c r="E174" i="2"/>
  <c r="D174" i="2"/>
  <c r="C173" i="2"/>
  <c r="C174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G175" i="2"/>
  <c r="J175" i="2"/>
  <c r="K175" i="2"/>
  <c r="M175" i="2"/>
  <c r="N175" i="2"/>
  <c r="Q175" i="2"/>
  <c r="R175" i="2"/>
  <c r="S175" i="2"/>
  <c r="T175" i="2"/>
  <c r="U175" i="2"/>
  <c r="V175" i="2"/>
  <c r="L11" i="1"/>
  <c r="O177" i="1"/>
  <c r="N177" i="1"/>
  <c r="M177" i="1"/>
  <c r="K177" i="1"/>
  <c r="L193" i="4" l="1"/>
  <c r="O175" i="2"/>
  <c r="P177" i="1"/>
  <c r="L115" i="1" l="1"/>
  <c r="M115" i="1" s="1"/>
  <c r="O9" i="1"/>
  <c r="O10" i="1"/>
  <c r="O11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40" i="1"/>
  <c r="O42" i="1"/>
  <c r="O43" i="1"/>
  <c r="O45" i="1"/>
  <c r="O46" i="1"/>
  <c r="O47" i="1"/>
  <c r="O48" i="1"/>
  <c r="O49" i="1"/>
  <c r="O50" i="1"/>
  <c r="O51" i="1"/>
  <c r="O53" i="1"/>
  <c r="O54" i="1"/>
  <c r="O56" i="1"/>
  <c r="O57" i="1"/>
  <c r="O59" i="1"/>
  <c r="O60" i="1"/>
  <c r="O61" i="1"/>
  <c r="O64" i="1"/>
  <c r="O65" i="1"/>
  <c r="O66" i="1"/>
  <c r="O67" i="1"/>
  <c r="O68" i="1"/>
  <c r="O69" i="1"/>
  <c r="O70" i="1"/>
  <c r="O71" i="1"/>
  <c r="O72" i="1"/>
  <c r="O75" i="1"/>
  <c r="O76" i="1"/>
  <c r="O77" i="1"/>
  <c r="O78" i="1"/>
  <c r="O80" i="1"/>
  <c r="O81" i="1"/>
  <c r="O82" i="1"/>
  <c r="O83" i="1"/>
  <c r="O84" i="1"/>
  <c r="O85" i="1"/>
  <c r="O86" i="1"/>
  <c r="O89" i="1"/>
  <c r="O90" i="1"/>
  <c r="O91" i="1"/>
  <c r="O92" i="1"/>
  <c r="O94" i="1"/>
  <c r="O95" i="1"/>
  <c r="O96" i="1"/>
  <c r="O97" i="1"/>
  <c r="O99" i="1"/>
  <c r="O100" i="1"/>
  <c r="O102" i="1"/>
  <c r="O103" i="1"/>
  <c r="O104" i="1"/>
  <c r="O105" i="1"/>
  <c r="O106" i="1"/>
  <c r="O107" i="1"/>
  <c r="O108" i="1"/>
  <c r="O109" i="1"/>
  <c r="O110" i="1"/>
  <c r="O111" i="1"/>
  <c r="O112" i="1"/>
  <c r="O114" i="1"/>
  <c r="O116" i="1"/>
  <c r="O118" i="1"/>
  <c r="O119" i="1"/>
  <c r="O120" i="1"/>
  <c r="O122" i="1"/>
  <c r="O123" i="1"/>
  <c r="O124" i="1"/>
  <c r="O125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2" i="1"/>
  <c r="O173" i="1"/>
  <c r="O175" i="1"/>
  <c r="O176" i="1"/>
  <c r="O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" i="1"/>
  <c r="W173" i="2"/>
  <c r="W172" i="2"/>
  <c r="L174" i="2"/>
  <c r="W174" i="2" s="1"/>
  <c r="E173" i="2"/>
  <c r="D173" i="2"/>
  <c r="M176" i="1"/>
  <c r="K176" i="1"/>
  <c r="L8" i="2"/>
  <c r="L71" i="2"/>
  <c r="L93" i="2"/>
  <c r="L70" i="2"/>
  <c r="L49" i="2"/>
  <c r="L55" i="2"/>
  <c r="L9" i="2"/>
  <c r="L17" i="2"/>
  <c r="L126" i="2"/>
  <c r="I35" i="2"/>
  <c r="I56" i="2"/>
  <c r="E59" i="2"/>
  <c r="I90" i="2"/>
  <c r="M9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8" i="1"/>
  <c r="H30" i="2"/>
  <c r="H90" i="2"/>
  <c r="H108" i="2"/>
  <c r="F5" i="2"/>
  <c r="F118" i="2"/>
  <c r="F41" i="2"/>
  <c r="F169" i="2"/>
  <c r="F168" i="2"/>
  <c r="F9" i="2"/>
  <c r="F96" i="2"/>
  <c r="F93" i="2"/>
  <c r="F59" i="2"/>
  <c r="F60" i="2"/>
  <c r="F38" i="2"/>
  <c r="F70" i="2"/>
  <c r="F71" i="2"/>
  <c r="F49" i="2"/>
  <c r="F126" i="2"/>
  <c r="L175" i="2" l="1"/>
  <c r="F175" i="2"/>
  <c r="H175" i="2"/>
  <c r="I175" i="2"/>
  <c r="P33" i="1"/>
  <c r="P9" i="1"/>
  <c r="P53" i="1"/>
  <c r="P107" i="1"/>
  <c r="P68" i="1"/>
  <c r="P64" i="1"/>
  <c r="P37" i="1"/>
  <c r="P69" i="1"/>
  <c r="P65" i="1"/>
  <c r="P49" i="1"/>
  <c r="P45" i="1"/>
  <c r="P29" i="1"/>
  <c r="P25" i="1"/>
  <c r="P21" i="1"/>
  <c r="P127" i="1"/>
  <c r="P57" i="1"/>
  <c r="P159" i="1"/>
  <c r="P143" i="1"/>
  <c r="P91" i="1"/>
  <c r="P95" i="1"/>
  <c r="P76" i="1"/>
  <c r="P61" i="1"/>
  <c r="P119" i="1"/>
  <c r="P99" i="1"/>
  <c r="P84" i="1"/>
  <c r="P80" i="1"/>
  <c r="P72" i="1"/>
  <c r="P94" i="1"/>
  <c r="P75" i="1"/>
  <c r="P175" i="1"/>
  <c r="P123" i="1"/>
  <c r="P111" i="1"/>
  <c r="P103" i="1"/>
  <c r="P60" i="1"/>
  <c r="P167" i="1"/>
  <c r="P163" i="1"/>
  <c r="P155" i="1"/>
  <c r="P151" i="1"/>
  <c r="P147" i="1"/>
  <c r="P139" i="1"/>
  <c r="P135" i="1"/>
  <c r="P131" i="1"/>
  <c r="P13" i="1"/>
  <c r="P118" i="1"/>
  <c r="P92" i="1"/>
  <c r="P89" i="1"/>
  <c r="P83" i="1"/>
  <c r="P78" i="1"/>
  <c r="P48" i="1"/>
  <c r="P28" i="1"/>
  <c r="P24" i="1"/>
  <c r="P20" i="1"/>
  <c r="P14" i="1"/>
  <c r="P8" i="1"/>
  <c r="P173" i="1"/>
  <c r="P122" i="1"/>
  <c r="P110" i="1"/>
  <c r="P106" i="1"/>
  <c r="P102" i="1"/>
  <c r="P96" i="1"/>
  <c r="P71" i="1"/>
  <c r="P67" i="1"/>
  <c r="P36" i="1"/>
  <c r="P32" i="1"/>
  <c r="P166" i="1"/>
  <c r="P162" i="1"/>
  <c r="P158" i="1"/>
  <c r="P154" i="1"/>
  <c r="P150" i="1"/>
  <c r="P146" i="1"/>
  <c r="P142" i="1"/>
  <c r="P138" i="1"/>
  <c r="P134" i="1"/>
  <c r="P130" i="1"/>
  <c r="P114" i="1"/>
  <c r="P109" i="1"/>
  <c r="P105" i="1"/>
  <c r="P56" i="1"/>
  <c r="P50" i="1"/>
  <c r="P46" i="1"/>
  <c r="P40" i="1"/>
  <c r="P16" i="1"/>
  <c r="P172" i="1"/>
  <c r="P125" i="1"/>
  <c r="P112" i="1"/>
  <c r="P108" i="1"/>
  <c r="P104" i="1"/>
  <c r="P100" i="1"/>
  <c r="P86" i="1"/>
  <c r="P82" i="1"/>
  <c r="P77" i="1"/>
  <c r="P59" i="1"/>
  <c r="P54" i="1"/>
  <c r="P35" i="1"/>
  <c r="P27" i="1"/>
  <c r="P23" i="1"/>
  <c r="P19" i="1"/>
  <c r="P176" i="1"/>
  <c r="P169" i="1"/>
  <c r="P165" i="1"/>
  <c r="P161" i="1"/>
  <c r="P157" i="1"/>
  <c r="P153" i="1"/>
  <c r="P149" i="1"/>
  <c r="P145" i="1"/>
  <c r="P141" i="1"/>
  <c r="P137" i="1"/>
  <c r="P133" i="1"/>
  <c r="P129" i="1"/>
  <c r="P124" i="1"/>
  <c r="P120" i="1"/>
  <c r="P116" i="1"/>
  <c r="P85" i="1"/>
  <c r="P81" i="1"/>
  <c r="P43" i="1"/>
  <c r="P38" i="1"/>
  <c r="P34" i="1"/>
  <c r="P30" i="1"/>
  <c r="P26" i="1"/>
  <c r="P22" i="1"/>
  <c r="P11" i="1"/>
  <c r="P168" i="1"/>
  <c r="P164" i="1"/>
  <c r="P160" i="1"/>
  <c r="P156" i="1"/>
  <c r="P152" i="1"/>
  <c r="P148" i="1"/>
  <c r="P144" i="1"/>
  <c r="P140" i="1"/>
  <c r="P136" i="1"/>
  <c r="P132" i="1"/>
  <c r="P128" i="1"/>
  <c r="P97" i="1"/>
  <c r="P90" i="1"/>
  <c r="P70" i="1"/>
  <c r="P66" i="1"/>
  <c r="P51" i="1"/>
  <c r="P47" i="1"/>
  <c r="P42" i="1"/>
  <c r="P15" i="1"/>
  <c r="P10" i="1"/>
  <c r="B6" i="2" l="1"/>
  <c r="B7" i="2"/>
  <c r="B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6" i="2"/>
  <c r="C7" i="2"/>
  <c r="C8" i="2"/>
  <c r="C9" i="2"/>
  <c r="C10" i="2"/>
  <c r="C11" i="2"/>
  <c r="C12" i="2"/>
  <c r="C13" i="2"/>
  <c r="C14" i="2"/>
  <c r="E5" i="2"/>
  <c r="C5" i="2"/>
  <c r="M9" i="1"/>
  <c r="M10" i="1"/>
  <c r="M11" i="1"/>
  <c r="M13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40" i="1"/>
  <c r="M42" i="1"/>
  <c r="M43" i="1"/>
  <c r="M45" i="1"/>
  <c r="M46" i="1"/>
  <c r="M47" i="1"/>
  <c r="M48" i="1"/>
  <c r="M49" i="1"/>
  <c r="M50" i="1"/>
  <c r="M51" i="1"/>
  <c r="M53" i="1"/>
  <c r="M54" i="1"/>
  <c r="M56" i="1"/>
  <c r="M57" i="1"/>
  <c r="M59" i="1"/>
  <c r="M60" i="1"/>
  <c r="M61" i="1"/>
  <c r="M64" i="1"/>
  <c r="M65" i="1"/>
  <c r="M66" i="1"/>
  <c r="M67" i="1"/>
  <c r="M68" i="1"/>
  <c r="M69" i="1"/>
  <c r="M70" i="1"/>
  <c r="M71" i="1"/>
  <c r="M72" i="1"/>
  <c r="M75" i="1"/>
  <c r="M76" i="1"/>
  <c r="M77" i="1"/>
  <c r="M78" i="1"/>
  <c r="M80" i="1"/>
  <c r="M81" i="1"/>
  <c r="M82" i="1"/>
  <c r="M83" i="1"/>
  <c r="M84" i="1"/>
  <c r="M85" i="1"/>
  <c r="M86" i="1"/>
  <c r="M89" i="1"/>
  <c r="M90" i="1"/>
  <c r="M92" i="1"/>
  <c r="M94" i="1"/>
  <c r="M95" i="1"/>
  <c r="M96" i="1"/>
  <c r="M97" i="1"/>
  <c r="M99" i="1"/>
  <c r="M100" i="1"/>
  <c r="M102" i="1"/>
  <c r="M103" i="1"/>
  <c r="M104" i="1"/>
  <c r="M105" i="1"/>
  <c r="M106" i="1"/>
  <c r="M107" i="1"/>
  <c r="M108" i="1"/>
  <c r="M109" i="1"/>
  <c r="M110" i="1"/>
  <c r="M111" i="1"/>
  <c r="M112" i="1"/>
  <c r="M114" i="1"/>
  <c r="M116" i="1"/>
  <c r="M118" i="1"/>
  <c r="M119" i="1"/>
  <c r="M120" i="1"/>
  <c r="M122" i="1"/>
  <c r="M123" i="1"/>
  <c r="M124" i="1"/>
  <c r="M125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2" i="1"/>
  <c r="M173" i="1"/>
  <c r="M175" i="1"/>
  <c r="M8" i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H96" i="4" s="1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5" i="2"/>
  <c r="L101" i="1"/>
  <c r="O101" i="1" s="1"/>
  <c r="P101" i="1" s="1"/>
  <c r="L87" i="1"/>
  <c r="O87" i="1" s="1"/>
  <c r="P87" i="1" s="1"/>
  <c r="O115" i="1"/>
  <c r="P115" i="1" s="1"/>
  <c r="L31" i="1"/>
  <c r="O31" i="1" s="1"/>
  <c r="P31" i="1" s="1"/>
  <c r="L174" i="1"/>
  <c r="O174" i="1" s="1"/>
  <c r="P174" i="1" s="1"/>
  <c r="L79" i="1"/>
  <c r="O79" i="1" s="1"/>
  <c r="P79" i="1" s="1"/>
  <c r="L98" i="1"/>
  <c r="O98" i="1" s="1"/>
  <c r="P98" i="1" s="1"/>
  <c r="L88" i="1"/>
  <c r="O88" i="1" s="1"/>
  <c r="P88" i="1" s="1"/>
  <c r="L58" i="1"/>
  <c r="O58" i="1" s="1"/>
  <c r="P58" i="1" s="1"/>
  <c r="L117" i="1"/>
  <c r="O117" i="1" s="1"/>
  <c r="P117" i="1" s="1"/>
  <c r="L113" i="1"/>
  <c r="O113" i="1" s="1"/>
  <c r="P113" i="1" s="1"/>
  <c r="L12" i="1"/>
  <c r="L44" i="1"/>
  <c r="O44" i="1" s="1"/>
  <c r="P44" i="1" s="1"/>
  <c r="L171" i="1"/>
  <c r="O171" i="1" s="1"/>
  <c r="P171" i="1" s="1"/>
  <c r="L121" i="1"/>
  <c r="O121" i="1" s="1"/>
  <c r="P121" i="1" s="1"/>
  <c r="L126" i="1"/>
  <c r="O126" i="1" s="1"/>
  <c r="P126" i="1" s="1"/>
  <c r="L170" i="1"/>
  <c r="O170" i="1" s="1"/>
  <c r="P170" i="1" s="1"/>
  <c r="L55" i="1"/>
  <c r="O55" i="1" s="1"/>
  <c r="P55" i="1" s="1"/>
  <c r="L73" i="1"/>
  <c r="O73" i="1" s="1"/>
  <c r="P73" i="1" s="1"/>
  <c r="L74" i="1"/>
  <c r="O74" i="1" s="1"/>
  <c r="P74" i="1" s="1"/>
  <c r="L41" i="1"/>
  <c r="O41" i="1" s="1"/>
  <c r="P41" i="1" s="1"/>
  <c r="L52" i="1"/>
  <c r="J52" i="1"/>
  <c r="L62" i="1"/>
  <c r="O62" i="1" s="1"/>
  <c r="P62" i="1" s="1"/>
  <c r="L63" i="1"/>
  <c r="O63" i="1" s="1"/>
  <c r="P63" i="1" s="1"/>
  <c r="L18" i="1"/>
  <c r="O18" i="1" s="1"/>
  <c r="P18" i="1" s="1"/>
  <c r="L39" i="1"/>
  <c r="O39" i="1" s="1"/>
  <c r="P39" i="1" s="1"/>
  <c r="L93" i="1"/>
  <c r="O93" i="1" s="1"/>
  <c r="P93" i="1" s="1"/>
  <c r="L17" i="1"/>
  <c r="O17" i="1" s="1"/>
  <c r="P17" i="1" s="1"/>
  <c r="W175" i="2" l="1"/>
  <c r="O12" i="1"/>
  <c r="P12" i="1" s="1"/>
  <c r="L178" i="1"/>
  <c r="W176" i="2"/>
  <c r="K52" i="1"/>
  <c r="K178" i="1" s="1"/>
  <c r="N52" i="1"/>
  <c r="N178" i="1" s="1"/>
  <c r="O52" i="1"/>
  <c r="M113" i="1"/>
  <c r="M73" i="1"/>
  <c r="M98" i="1"/>
  <c r="M39" i="1"/>
  <c r="M121" i="1"/>
  <c r="M18" i="1"/>
  <c r="M52" i="1"/>
  <c r="M55" i="1"/>
  <c r="M171" i="1"/>
  <c r="M117" i="1"/>
  <c r="M79" i="1"/>
  <c r="M87" i="1"/>
  <c r="M17" i="1"/>
  <c r="M63" i="1"/>
  <c r="M41" i="1"/>
  <c r="M170" i="1"/>
  <c r="M44" i="1"/>
  <c r="M58" i="1"/>
  <c r="M174" i="1"/>
  <c r="M101" i="1"/>
  <c r="M93" i="1"/>
  <c r="M62" i="1"/>
  <c r="M74" i="1"/>
  <c r="M126" i="1"/>
  <c r="M12" i="1"/>
  <c r="M88" i="1"/>
  <c r="M31" i="1"/>
  <c r="O178" i="1" l="1"/>
  <c r="P178" i="1" s="1"/>
  <c r="P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tc={FF241099-4CE9-4CFD-9E4F-744129819672}</author>
    <author>tc={4F48D541-537E-475A-9C65-B9A47FE8255E}</author>
    <author>tc={CD812284-C90C-4A42-9146-CA6F3A3FE201}</author>
    <author>tc={1F9F32CC-9C8A-41F0-9A24-49C3F9D7A1B1}</author>
    <author>tc={BCBB735F-DDE6-4D25-A091-E3ADBC8E34E5}</author>
    <author>tc={C7E10D67-BBAC-4300-9EFF-405400802DBF}</author>
    <author>tc={39AA8445-860B-427D-A67D-26982B1E2BA2}</author>
  </authors>
  <commentList>
    <comment ref="L8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L44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45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2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63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L70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L171" authorId="6" shapeId="0" xr:uid="{00000000-0006-0000-0000-000007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tc={A22B766F-69BF-450E-A027-2B4D0C081093}</author>
    <author>tc={8426E926-C1F6-4F6A-A2FA-F77B94E52D9D}</author>
    <author>tc={9ACEC1E9-FAB3-43BD-8EF5-AFCD6D5DE2E0}</author>
    <author>tc={C82F6D45-12C9-4BDF-9162-44B944A842EC}</author>
    <author>tc={C75958C3-B4E2-4150-8FAD-032C0260122D}</author>
    <author>tc={4FCEB951-09A3-416F-88AE-1BD89C01AA71}</author>
    <author>tc={45E1FFD5-BDD1-4954-98EC-F7689084ECBE}</author>
  </authors>
  <commentList>
    <comment ref="G34" authorId="0" shapeId="0" xr:uid="{A22B766F-69BF-450E-A027-2B4D0C0810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G76" authorId="1" shapeId="0" xr:uid="{8426E926-C1F6-4F6A-A2FA-F77B94E52D9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77" authorId="2" shapeId="0" xr:uid="{9ACEC1E9-FAB3-43BD-8EF5-AFCD6D5DE2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90" authorId="3" shapeId="0" xr:uid="{C82F6D45-12C9-4BDF-9162-44B944A842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G112" authorId="4" shapeId="0" xr:uid="{C75958C3-B4E2-4150-8FAD-032C026012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G141" authorId="5" shapeId="0" xr:uid="{4FCEB951-09A3-416F-88AE-1BD89C01AA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44" authorId="6" shapeId="0" xr:uid="{45E1FFD5-BDD1-4954-98EC-F7689084EC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<sst xmlns="http://schemas.openxmlformats.org/spreadsheetml/2006/main" count="1446" uniqueCount="357">
  <si>
    <t>Oficina Gubernamental De Tecnologias De La Información y Comunicación</t>
  </si>
  <si>
    <t xml:space="preserve">Inventario de Almacén </t>
  </si>
  <si>
    <t>Periodo AGOSTO   2023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</si>
  <si>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</si>
  <si>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</si>
  <si>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</si>
  <si>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</si>
  <si>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</si>
  <si>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</si>
  <si>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>Existencia JULIO 2023</t>
  </si>
  <si>
    <t>Unidad de medida</t>
  </si>
  <si>
    <t>Valor</t>
  </si>
  <si>
    <t>Total</t>
  </si>
  <si>
    <t>Existencia al   24 AGOSTO</t>
  </si>
  <si>
    <t>Diferencia EXISTENCIA</t>
  </si>
  <si>
    <t>Total Conteo 11/08/2023</t>
  </si>
  <si>
    <t>Total Conteo 24/08/2023</t>
  </si>
  <si>
    <t>Diferencia</t>
  </si>
  <si>
    <t>AGUA MINERAL</t>
  </si>
  <si>
    <t>CAJA  18/1</t>
  </si>
  <si>
    <t>AIRE COMPRIMIDO 400ML</t>
  </si>
  <si>
    <t>CAJA (12/1)</t>
  </si>
  <si>
    <t>ALCOHOL</t>
  </si>
  <si>
    <t>GALON</t>
  </si>
  <si>
    <t xml:space="preserve">AMBIENTADOR EN AEROSOL </t>
  </si>
  <si>
    <t>N/A</t>
  </si>
  <si>
    <t>24-11-2022</t>
  </si>
  <si>
    <t>60</t>
  </si>
  <si>
    <t>UNIDAD</t>
  </si>
  <si>
    <t>AZUCAR CREMA</t>
  </si>
  <si>
    <t>15/2/2023</t>
  </si>
  <si>
    <t>14-5-22</t>
  </si>
  <si>
    <t>150</t>
  </si>
  <si>
    <t>PAQUETE</t>
  </si>
  <si>
    <t>AZUCAREROS</t>
  </si>
  <si>
    <t>BANDA ELASTICA</t>
  </si>
  <si>
    <t>21-7-2022</t>
  </si>
  <si>
    <t>200</t>
  </si>
  <si>
    <t>CAJA</t>
  </si>
  <si>
    <t>BANDEJA INOXIDABLE 40 cm</t>
  </si>
  <si>
    <t>44121701</t>
  </si>
  <si>
    <t>BOLIGRAFO AZUL 12/1</t>
  </si>
  <si>
    <t>210</t>
  </si>
  <si>
    <t>DOCENA</t>
  </si>
  <si>
    <t>44121702</t>
  </si>
  <si>
    <t>BOLIGRAFO NEGRO 12/1</t>
  </si>
  <si>
    <t>13</t>
  </si>
  <si>
    <t>BORRA DE GOMA</t>
  </si>
  <si>
    <t>70</t>
  </si>
  <si>
    <t>BORRADOR P/PIZARRA</t>
  </si>
  <si>
    <t>17-11-20</t>
  </si>
  <si>
    <t>28-5-2021</t>
  </si>
  <si>
    <t>1</t>
  </si>
  <si>
    <t>CAFÉ MOLIDO 1LIBRA</t>
  </si>
  <si>
    <t>FALDO</t>
  </si>
  <si>
    <t>CARPETA  1/2  3 ARGOLLA</t>
  </si>
  <si>
    <t>35</t>
  </si>
  <si>
    <t>CARPETA 1" DE 3 ARGOLLA</t>
  </si>
  <si>
    <t>CARPETA 1.5" DE 3 ARGOLLA</t>
  </si>
  <si>
    <t>44122003</t>
  </si>
  <si>
    <t>CARPETA DE 2'' 3 ARGOLLA</t>
  </si>
  <si>
    <t>CARPETA DE 3'' 3 ARGOLLA</t>
  </si>
  <si>
    <t>125</t>
  </si>
  <si>
    <t xml:space="preserve">CARPETA DE CHEQUES  OPTIC </t>
  </si>
  <si>
    <t>176</t>
  </si>
  <si>
    <t>CARTUCHO 950 NEGRO CN049AL</t>
  </si>
  <si>
    <t>5</t>
  </si>
  <si>
    <t>CARTUCHO 951 Cyan CN050AL</t>
  </si>
  <si>
    <t>CARTUCHO 951 MAGETA CN051AL</t>
  </si>
  <si>
    <t>6</t>
  </si>
  <si>
    <t>CARTUCHO 951 YELLOW CN052AL</t>
  </si>
  <si>
    <t>CEPILLO INODORA CON BASE</t>
  </si>
  <si>
    <t>CINTA ADHESIVA / EMBALAJE 2X100</t>
  </si>
  <si>
    <t>119</t>
  </si>
  <si>
    <t>CINTA ADHESIVA 19MMx25.4</t>
  </si>
  <si>
    <t>209</t>
  </si>
  <si>
    <t>44101805</t>
  </si>
  <si>
    <t>CINTA PARA CALCULADORA</t>
  </si>
  <si>
    <t>20</t>
  </si>
  <si>
    <t>CLIC BILLETERO DE 25"</t>
  </si>
  <si>
    <t>44122104</t>
  </si>
  <si>
    <t>CLIP BILLETERO PARA PAPEL 1''25 MM</t>
  </si>
  <si>
    <t>CAJA 12/1</t>
  </si>
  <si>
    <t>CLIP BILLETERO PARA PAPEL 50MM</t>
  </si>
  <si>
    <t>11</t>
  </si>
  <si>
    <t>CLIP PARA PAPEL 33MM</t>
  </si>
  <si>
    <t>16-11-20</t>
  </si>
  <si>
    <t>190</t>
  </si>
  <si>
    <t>CLIP PARA PAPEL 50MM</t>
  </si>
  <si>
    <t>CLIPS BILLETERO 40''pq</t>
  </si>
  <si>
    <t>9</t>
  </si>
  <si>
    <t xml:space="preserve">CLORO </t>
  </si>
  <si>
    <t>25</t>
  </si>
  <si>
    <t>GALONES</t>
  </si>
  <si>
    <t>COPA DE VINO (48101904)</t>
  </si>
  <si>
    <t>COPA P/AGUA BRUNELO 13.5 ONZAS (48101904=</t>
  </si>
  <si>
    <t>CREMA PARA CAFÉ</t>
  </si>
  <si>
    <t>86</t>
  </si>
  <si>
    <t>CUBETA EXPRIMIDOR</t>
  </si>
  <si>
    <t>18-11-2022</t>
  </si>
  <si>
    <t>7</t>
  </si>
  <si>
    <t>CUBIERTA P/ENCUADERNAR PLAST.</t>
  </si>
  <si>
    <t>46</t>
  </si>
  <si>
    <t>CUCHARA</t>
  </si>
  <si>
    <t>CUCHARA P/CAFÉ (48101801)</t>
  </si>
  <si>
    <t>CUCHILLO DE MESA (52151702)</t>
  </si>
  <si>
    <t>CUCHILLO TRAMONTINA (48101801)</t>
  </si>
  <si>
    <t>DESCURTIDOR DE BAÑO (47131802)</t>
  </si>
  <si>
    <t xml:space="preserve">DESINFECTANTE MULTIUSO </t>
  </si>
  <si>
    <t>2</t>
  </si>
  <si>
    <t>DETERGENTE EN POLVO</t>
  </si>
  <si>
    <t>4</t>
  </si>
  <si>
    <t>SACO</t>
  </si>
  <si>
    <t>DISPENSADOR DE CINTA 3/4</t>
  </si>
  <si>
    <t>37</t>
  </si>
  <si>
    <t>ESCOBA PLASTICAS</t>
  </si>
  <si>
    <t>16-7-2021</t>
  </si>
  <si>
    <t>16-7-2022</t>
  </si>
  <si>
    <t>87</t>
  </si>
  <si>
    <t>ESCOBILLON PARA BAÑO</t>
  </si>
  <si>
    <t>10</t>
  </si>
  <si>
    <t>ESCURRIDOR DE PLATO</t>
  </si>
  <si>
    <t>ESPONJA DE FREGAR (47121803)</t>
  </si>
  <si>
    <t>44122011</t>
  </si>
  <si>
    <t>FOLDER 8 1/2 X 11</t>
  </si>
  <si>
    <t>47</t>
  </si>
  <si>
    <t>FOLDER 8½ X 14</t>
  </si>
  <si>
    <t xml:space="preserve">FOLDER PARTITION </t>
  </si>
  <si>
    <t>950</t>
  </si>
  <si>
    <t>FUNDA NEGRA 13 gl</t>
  </si>
  <si>
    <t>FARDO</t>
  </si>
  <si>
    <t>FUNDA NEGRA 55 gl</t>
  </si>
  <si>
    <t>2500</t>
  </si>
  <si>
    <t>GEL DE MANO</t>
  </si>
  <si>
    <t xml:space="preserve">GOMA 112 H17 </t>
  </si>
  <si>
    <t>GOMA 55 R20 (25172504)</t>
  </si>
  <si>
    <t>GOMA 65 R17 (25172502)</t>
  </si>
  <si>
    <t>GOMA R16 (25172504)</t>
  </si>
  <si>
    <t>44122107</t>
  </si>
  <si>
    <t>GRAPA ESTANDAR 26/6</t>
  </si>
  <si>
    <t>115</t>
  </si>
  <si>
    <t>GRAPA METALICA 23/15</t>
  </si>
  <si>
    <t xml:space="preserve">GRAPADORA </t>
  </si>
  <si>
    <t>120</t>
  </si>
  <si>
    <t>GUANTE DE GOMA</t>
  </si>
  <si>
    <t>JABON LAVA MANO</t>
  </si>
  <si>
    <t>JABON LAVA PLATO (FREGAR)</t>
  </si>
  <si>
    <t>JARRA DE CRISTAL 1800 ml (48101907)</t>
  </si>
  <si>
    <t>55121504</t>
  </si>
  <si>
    <t>LABEL 1 1/2 X 4"</t>
  </si>
  <si>
    <t>66</t>
  </si>
  <si>
    <t xml:space="preserve">LAPIZ DE CARBON </t>
  </si>
  <si>
    <t>28</t>
  </si>
  <si>
    <t>LIBRETA RALLADA GRANDE 8.5 / 11 con logo Optic</t>
  </si>
  <si>
    <t>LIBRETA RALLADA PEQUEÑA 5.5 x 8.5 con logo Optic</t>
  </si>
  <si>
    <t>LIBRO RECORD 300 PG.</t>
  </si>
  <si>
    <t>84</t>
  </si>
  <si>
    <t>LIMPIA METAL</t>
  </si>
  <si>
    <t>MANTEL BASE BORDADO</t>
  </si>
  <si>
    <t>MANTEL GRANDE DE MESA BLANCO</t>
  </si>
  <si>
    <t>MANTEL PEQUEÑO</t>
  </si>
  <si>
    <t>MARCADOR DE PIZARRA</t>
  </si>
  <si>
    <t>13-11-20</t>
  </si>
  <si>
    <t>15</t>
  </si>
  <si>
    <t>MARCADOR PERMANENTE</t>
  </si>
  <si>
    <t>21</t>
  </si>
  <si>
    <t>MASCARILLA</t>
  </si>
  <si>
    <t>MOPA ABRILLANTADORA</t>
  </si>
  <si>
    <t>NOTA ADHESIVA</t>
  </si>
  <si>
    <t>72</t>
  </si>
  <si>
    <t xml:space="preserve">ORGANIZADOR DE ESCRITORIO </t>
  </si>
  <si>
    <t>53</t>
  </si>
  <si>
    <t>PALO DE ESCOBA</t>
  </si>
  <si>
    <t>PALO RECOGEDOR DE BASURA</t>
  </si>
  <si>
    <t>14111507</t>
  </si>
  <si>
    <t>PAPEL BOND 8 ½  x 11</t>
  </si>
  <si>
    <t>400</t>
  </si>
  <si>
    <t>RESMA</t>
  </si>
  <si>
    <t>PAPEL BOND 8 ½  x 14</t>
  </si>
  <si>
    <t xml:space="preserve">PAPEL CARTONITE </t>
  </si>
  <si>
    <t>PAPEL DE BAÑO</t>
  </si>
  <si>
    <t>PAPEL HILO</t>
  </si>
  <si>
    <t>PAPEL TERMICO 3 1/8</t>
  </si>
  <si>
    <t>CAJA (100/1)</t>
  </si>
  <si>
    <t>PAPEL TOALLA</t>
  </si>
  <si>
    <t>PERFORADORA DE 2 AROS</t>
  </si>
  <si>
    <t>PIN ESPUMA MULTIUSO</t>
  </si>
  <si>
    <t>PIXMA AMARILLO CANNON (GI-10 Y)</t>
  </si>
  <si>
    <t>PIXMA AZUL CANNON (GI-10 C)</t>
  </si>
  <si>
    <t>PIXMA MAGENTA CANNON (GI-10 M)</t>
  </si>
  <si>
    <t>PIXMA NEGRA CANNON (GI-10 PG BK)</t>
  </si>
  <si>
    <t>PLATO (34x24x27 cm)</t>
  </si>
  <si>
    <t>PLATO BASE (33mm) (52152004)</t>
  </si>
  <si>
    <t>PLATO POSTRE  (30x24.5x25 cm) (52152005)</t>
  </si>
  <si>
    <t>PLATO TERMICO DESECHABLE</t>
  </si>
  <si>
    <t>FALDO 120/1</t>
  </si>
  <si>
    <t>PORTA CLIPS MAGNETICO</t>
  </si>
  <si>
    <t>39</t>
  </si>
  <si>
    <t>POST-ING BANDERITAS</t>
  </si>
  <si>
    <t>PRINT RIBBON YMCKT 535700-007</t>
  </si>
  <si>
    <t>44122005</t>
  </si>
  <si>
    <t>PROTECTOR DE HOJA 100/1</t>
  </si>
  <si>
    <t>RECIPIENTE P/LECHE P/CAFÉ (52152002)</t>
  </si>
  <si>
    <t>RECOGEDOR DE BASURA (47131611)</t>
  </si>
  <si>
    <t>44121716</t>
  </si>
  <si>
    <t>RESALTADORES</t>
  </si>
  <si>
    <t>ROLLO DE SUMADORA PAPEL</t>
  </si>
  <si>
    <t>80</t>
  </si>
  <si>
    <t>SACAGRAPA</t>
  </si>
  <si>
    <t>SACAPUNTA</t>
  </si>
  <si>
    <t>90</t>
  </si>
  <si>
    <t>SEPARADORES DE CARPETA</t>
  </si>
  <si>
    <t>CAJA 24/1</t>
  </si>
  <si>
    <t>SERVILLETA DE MESA</t>
  </si>
  <si>
    <t>40</t>
  </si>
  <si>
    <t>SOBRE DE CARTA EN BLANCO</t>
  </si>
  <si>
    <t>32</t>
  </si>
  <si>
    <t>SOBRE MANILA 10X15</t>
  </si>
  <si>
    <t>SOBRE MANILA 9X12</t>
  </si>
  <si>
    <t xml:space="preserve">CAJA </t>
  </si>
  <si>
    <t>SUJETADOR DE DOCUMENTO</t>
  </si>
  <si>
    <t>16</t>
  </si>
  <si>
    <t>SWAPE</t>
  </si>
  <si>
    <t>TASA  (46x41x35 cm) (48101905)</t>
  </si>
  <si>
    <t>TASA P/CAFÉ C/PLATO 120 cc (48101905)</t>
  </si>
  <si>
    <t>TEE INSTANTANEO FRIO 6.5 LIBRAS</t>
  </si>
  <si>
    <t>144</t>
  </si>
  <si>
    <t>TENEDOR (52151703)</t>
  </si>
  <si>
    <t>TIJERA</t>
  </si>
  <si>
    <t>439</t>
  </si>
  <si>
    <t>TOALLA MICROFIBRA</t>
  </si>
  <si>
    <t>PAQUETE (30/1)</t>
  </si>
  <si>
    <t>TONER 122A  CYAN Q3961A</t>
  </si>
  <si>
    <t>TONER 122A  MAGENT Q3963A</t>
  </si>
  <si>
    <t>TONER 122A  NEGRO Q3960A</t>
  </si>
  <si>
    <t>TONER 122A AMARILLO Q3962A</t>
  </si>
  <si>
    <t>TONER 304A AMARILLO CC532A</t>
  </si>
  <si>
    <t>TONER 304A CYAN CC531A</t>
  </si>
  <si>
    <t>TONER 304A MAGENT CC533A</t>
  </si>
  <si>
    <t>12</t>
  </si>
  <si>
    <t>TONER 304A NEGRO CC530A</t>
  </si>
  <si>
    <t>TONER 305A AMARILLO CE412A</t>
  </si>
  <si>
    <t>TONER 305A CYAN CE411A</t>
  </si>
  <si>
    <t>TONER 305A MAGENTA CE413A</t>
  </si>
  <si>
    <t>TONER 305A NEGRO CE410A</t>
  </si>
  <si>
    <t>TONER 30A NEGRO CF230A</t>
  </si>
  <si>
    <t>TONER 410A AMARILLO CF412A</t>
  </si>
  <si>
    <t>TONER 410A CYAN CF411A</t>
  </si>
  <si>
    <t>8</t>
  </si>
  <si>
    <t>TONER 410A MAGENTA CF413A</t>
  </si>
  <si>
    <t>TONER 410A NEGRO CF410A</t>
  </si>
  <si>
    <t>TONER 414A AMARILLO W2022A</t>
  </si>
  <si>
    <t>TONER 414A MAGENTA W2023A</t>
  </si>
  <si>
    <t>TONER 414A NEGRO W2020A</t>
  </si>
  <si>
    <t>TONER 48A CF248A</t>
  </si>
  <si>
    <t>TONER 49A Q5949A</t>
  </si>
  <si>
    <t>TONER 507A AMARILLO CE402A</t>
  </si>
  <si>
    <t>TONER 507A CyAN CE401A</t>
  </si>
  <si>
    <t>TONER 507A MAGENTA CE403A</t>
  </si>
  <si>
    <t>TONER 507A NEGRO CE400A</t>
  </si>
  <si>
    <t>TONER 53A NEGRO Q7553A</t>
  </si>
  <si>
    <t>TONER 55A NEGRO CE255A</t>
  </si>
  <si>
    <t>3</t>
  </si>
  <si>
    <t>TONER 643A AMARILLO Q5952A</t>
  </si>
  <si>
    <t>TONER 643A CYAN Q5951A</t>
  </si>
  <si>
    <t>TONER 643A MAGENTA Q5953A</t>
  </si>
  <si>
    <t xml:space="preserve">TONER 643A NEGRO Q5950A </t>
  </si>
  <si>
    <t xml:space="preserve">TONER 78A NEGRO CE278A </t>
  </si>
  <si>
    <t>TONER CF80A NEGRO CF280A</t>
  </si>
  <si>
    <t>14</t>
  </si>
  <si>
    <t>TONER CF83A NEGRO CF283A</t>
  </si>
  <si>
    <t>TONER TAMBOR BLACK CF232A</t>
  </si>
  <si>
    <t xml:space="preserve">TONER414A CYAN W2021A </t>
  </si>
  <si>
    <t xml:space="preserve">TRIANGULO DE PRECAUSION </t>
  </si>
  <si>
    <t>22-11-2022</t>
  </si>
  <si>
    <t>VASO CONICO DESCHABLE ($2,450.00)</t>
  </si>
  <si>
    <t>VASO DE CARTON 4 OZ DESECHABLE ($2,500.00)</t>
  </si>
  <si>
    <t>ZAFACON CUADRADO GRIS MEDIANO</t>
  </si>
  <si>
    <t>ZAFACON PEQUEÑO GRIS (47121704)</t>
  </si>
  <si>
    <t>ZAFACON REDONDO GRANDE GRIS (47121704)</t>
  </si>
  <si>
    <t>CREMERAS</t>
  </si>
  <si>
    <t>ATOMIZADOR</t>
  </si>
  <si>
    <t>Pagina 6 de 6</t>
  </si>
  <si>
    <t>Felipe Castro</t>
  </si>
  <si>
    <t>Rayssa Caceres</t>
  </si>
  <si>
    <t>Preparado Por:</t>
  </si>
  <si>
    <t>Contador</t>
  </si>
  <si>
    <t>Contadora</t>
  </si>
  <si>
    <t>Puesto que ocupa</t>
  </si>
  <si>
    <t xml:space="preserve">Oficina Gubernamental de </t>
  </si>
  <si>
    <t>Tecnologías de la Información y Comunicación</t>
  </si>
  <si>
    <t>AGOSTO 2023</t>
  </si>
  <si>
    <t>SALIDAS</t>
  </si>
  <si>
    <t>Unidad</t>
  </si>
  <si>
    <t>TOTAL</t>
  </si>
  <si>
    <t>COPA DE VINO</t>
  </si>
  <si>
    <t>COPA P/AGUA BRUNELO 13.5 ONZAS</t>
  </si>
  <si>
    <t>CUCHARA P/CAFÉ</t>
  </si>
  <si>
    <t>CUCHILLO DE MESA</t>
  </si>
  <si>
    <t>CUCHILLO TRAMONTINA</t>
  </si>
  <si>
    <t>DESCURTIDOR DE BAÑO</t>
  </si>
  <si>
    <t>ESPONJA DE FREGAR</t>
  </si>
  <si>
    <t>GOMA 112 H17</t>
  </si>
  <si>
    <t>GOMA 55 R20</t>
  </si>
  <si>
    <t>GOMA 65 R17</t>
  </si>
  <si>
    <t>GOMA R16</t>
  </si>
  <si>
    <t>JARRA DE CRISTAL 1800 ml</t>
  </si>
  <si>
    <t>LIBRETA RALLADA GRANDE 8.5 / 11</t>
  </si>
  <si>
    <t>LIBRETA RALLADA PEQUEÑA 5 X 8</t>
  </si>
  <si>
    <t>PLATO BASE (33mm)</t>
  </si>
  <si>
    <t>PLATO POSTRE  (30x24.5x25 cm)</t>
  </si>
  <si>
    <t>RECIPIENTE P/LECHE P/CAFÉ</t>
  </si>
  <si>
    <t>RECOGEDOR DE BASURA</t>
  </si>
  <si>
    <t>TASA  (46x41x35 cm) 6/1</t>
  </si>
  <si>
    <t>TASA P/CAFÉ C/PLATO 120 cc</t>
  </si>
  <si>
    <t>TENEDOR</t>
  </si>
  <si>
    <t>VASO CONICO DESCHABLE</t>
  </si>
  <si>
    <t>VASO DE CARTON 4 OZ DESECHABLE</t>
  </si>
  <si>
    <t>ZAFACON PEQUEÑO GRIS</t>
  </si>
  <si>
    <t>ZAFACON REDONDO GRANDE GRIS</t>
  </si>
  <si>
    <t xml:space="preserve">AL 31 DE MARZO 2024 </t>
  </si>
  <si>
    <t xml:space="preserve">SALIDA </t>
  </si>
  <si>
    <t>AL 31 MARZO 2024</t>
  </si>
  <si>
    <t>TÓNER 145A NEGRO W1450A HP</t>
  </si>
  <si>
    <t>TONER 410X CYAN CF411X</t>
  </si>
  <si>
    <t>TONER 410X MANGENTA CF413X</t>
  </si>
  <si>
    <t>TONER 410X NEGRO CF410X</t>
  </si>
  <si>
    <t>TONER 230 A AMARILLO</t>
  </si>
  <si>
    <t>TONER 230A CYAN</t>
  </si>
  <si>
    <t>TONER 230A MAGENTA</t>
  </si>
  <si>
    <t>TONER 230A NEGRO</t>
  </si>
  <si>
    <t>TONER 30X  NEGRO</t>
  </si>
  <si>
    <t>TONER 105A NEGRO</t>
  </si>
  <si>
    <t>TONER 32A NEGRO</t>
  </si>
  <si>
    <t>TONER 410X AMARILLO</t>
  </si>
  <si>
    <t>TONER 83X NEGRO</t>
  </si>
  <si>
    <t>TONER 206X CIAN</t>
  </si>
  <si>
    <t>TONER 206X MAGENTA</t>
  </si>
  <si>
    <t>TONER 206X AMARILLO</t>
  </si>
  <si>
    <t>TONER 151 A NEGRO</t>
  </si>
  <si>
    <t>TÓNER 206A NEGRO W2110A</t>
  </si>
  <si>
    <t>TÓNER 206A MAGENTA W2110A</t>
  </si>
  <si>
    <t>TÓNER 206A CYAN W2110A</t>
  </si>
  <si>
    <t>TÓNER 206A AMARILLO W2110A</t>
  </si>
  <si>
    <t xml:space="preserve">LIMPIADOR DE CRISTALES </t>
  </si>
  <si>
    <t>FUNDAS MEDIANAS 24X30</t>
  </si>
  <si>
    <t>PAQUETES</t>
  </si>
  <si>
    <t xml:space="preserve">Geno Martínez </t>
  </si>
  <si>
    <t xml:space="preserve">Encargado de Servicios Generales </t>
  </si>
  <si>
    <t>Julio Morales</t>
  </si>
  <si>
    <t xml:space="preserve">Revisado por: </t>
  </si>
  <si>
    <t>Encargado de almacén</t>
  </si>
  <si>
    <t>TONER 206X NEGRO</t>
  </si>
  <si>
    <t>Trimestre Enero - Marzo2024</t>
  </si>
  <si>
    <t>Altagracia Lopez</t>
  </si>
  <si>
    <t xml:space="preserve">Aprobado por: 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</si>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</sst>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theme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0" fillId="2" borderId="1">
      <alignment horizontal="center" vertical="center"/>
    </xf>
  </cellStyleXfs>
  <cellXfs count="1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left" vertical="top"/>
    </xf>
    <xf numFmtId="44" fontId="4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1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1" fontId="10" fillId="0" borderId="1" xfId="0" applyNumberFormat="1" applyFont="1" applyBorder="1"/>
    <xf numFmtId="41" fontId="0" fillId="0" borderId="0" xfId="0" applyNumberForma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vertical="center"/>
    </xf>
    <xf numFmtId="0" fontId="14" fillId="5" borderId="1" xfId="0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right"/>
    </xf>
    <xf numFmtId="0" fontId="11" fillId="0" borderId="0" xfId="1" applyFont="1" applyAlignment="1">
      <alignment vertical="center" wrapText="1"/>
    </xf>
    <xf numFmtId="4" fontId="17" fillId="0" borderId="0" xfId="0" applyNumberFormat="1" applyFont="1"/>
    <xf numFmtId="4" fontId="11" fillId="0" borderId="0" xfId="0" applyNumberFormat="1" applyFont="1"/>
    <xf numFmtId="41" fontId="11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1" fontId="0" fillId="0" borderId="7" xfId="0" applyNumberFormat="1" applyBorder="1"/>
    <xf numFmtId="41" fontId="1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4" fontId="14" fillId="0" borderId="1" xfId="0" applyNumberFormat="1" applyFont="1" applyBorder="1"/>
    <xf numFmtId="41" fontId="14" fillId="0" borderId="1" xfId="0" applyNumberFormat="1" applyFont="1" applyBorder="1" applyAlignment="1">
      <alignment horizontal="center"/>
    </xf>
    <xf numFmtId="41" fontId="10" fillId="0" borderId="0" xfId="0" applyNumberFormat="1" applyFont="1"/>
    <xf numFmtId="0" fontId="14" fillId="0" borderId="1" xfId="3" applyFont="1" applyFill="1" applyProtection="1">
      <alignment horizontal="center" vertical="center"/>
      <protection locked="0"/>
    </xf>
    <xf numFmtId="164" fontId="14" fillId="0" borderId="1" xfId="1" applyNumberFormat="1" applyFont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4" fontId="14" fillId="0" borderId="1" xfId="2" applyNumberFormat="1" applyFont="1" applyFill="1" applyBorder="1" applyAlignment="1">
      <alignment vertical="center"/>
    </xf>
    <xf numFmtId="2" fontId="14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left"/>
    </xf>
    <xf numFmtId="4" fontId="14" fillId="4" borderId="1" xfId="0" applyNumberFormat="1" applyFont="1" applyFill="1" applyBorder="1"/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4" borderId="1" xfId="0" applyFont="1" applyFill="1" applyBorder="1"/>
    <xf numFmtId="4" fontId="14" fillId="4" borderId="1" xfId="2" applyNumberFormat="1" applyFont="1" applyFill="1" applyBorder="1" applyAlignment="1">
      <alignment vertical="center"/>
    </xf>
    <xf numFmtId="4" fontId="22" fillId="4" borderId="1" xfId="0" applyNumberFormat="1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" applyFont="1" applyAlignment="1">
      <alignment horizontal="center" vertical="center"/>
    </xf>
    <xf numFmtId="164" fontId="21" fillId="0" borderId="0" xfId="1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1" applyFont="1" applyAlignment="1">
      <alignment vertical="center" wrapText="1"/>
    </xf>
    <xf numFmtId="4" fontId="22" fillId="0" borderId="0" xfId="0" applyNumberFormat="1" applyFont="1"/>
    <xf numFmtId="4" fontId="21" fillId="0" borderId="1" xfId="0" applyNumberFormat="1" applyFont="1" applyBorder="1"/>
    <xf numFmtId="0" fontId="21" fillId="0" borderId="1" xfId="0" applyFont="1" applyBorder="1"/>
    <xf numFmtId="14" fontId="21" fillId="0" borderId="1" xfId="0" applyNumberFormat="1" applyFont="1" applyBorder="1" applyAlignment="1">
      <alignment horizontal="left"/>
    </xf>
    <xf numFmtId="44" fontId="23" fillId="3" borderId="1" xfId="1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41" fontId="10" fillId="6" borderId="1" xfId="0" applyNumberFormat="1" applyFont="1" applyFill="1" applyBorder="1"/>
    <xf numFmtId="41" fontId="24" fillId="6" borderId="1" xfId="0" applyNumberFormat="1" applyFont="1" applyFill="1" applyBorder="1"/>
    <xf numFmtId="41" fontId="20" fillId="0" borderId="1" xfId="0" applyNumberFormat="1" applyFont="1" applyBorder="1"/>
    <xf numFmtId="4" fontId="15" fillId="0" borderId="1" xfId="0" applyNumberFormat="1" applyFont="1" applyBorder="1"/>
    <xf numFmtId="41" fontId="14" fillId="0" borderId="1" xfId="0" applyNumberFormat="1" applyFont="1" applyBorder="1" applyAlignment="1">
      <alignment horizontal="right"/>
    </xf>
    <xf numFmtId="41" fontId="14" fillId="0" borderId="1" xfId="2" applyNumberFormat="1" applyFont="1" applyFill="1" applyBorder="1" applyAlignment="1">
      <alignment horizontal="right"/>
    </xf>
    <xf numFmtId="41" fontId="24" fillId="0" borderId="1" xfId="0" applyNumberFormat="1" applyFont="1" applyBorder="1"/>
    <xf numFmtId="0" fontId="1" fillId="0" borderId="0" xfId="0" applyFont="1"/>
    <xf numFmtId="4" fontId="14" fillId="7" borderId="1" xfId="0" applyNumberFormat="1" applyFont="1" applyFill="1" applyBorder="1"/>
    <xf numFmtId="4" fontId="14" fillId="7" borderId="1" xfId="2" applyNumberFormat="1" applyFont="1" applyFill="1" applyBorder="1" applyAlignment="1">
      <alignment vertical="center"/>
    </xf>
    <xf numFmtId="0" fontId="14" fillId="7" borderId="1" xfId="0" applyFont="1" applyFill="1" applyBorder="1"/>
    <xf numFmtId="0" fontId="15" fillId="3" borderId="1" xfId="0" applyFont="1" applyFill="1" applyBorder="1" applyAlignment="1">
      <alignment horizontal="center" vertical="center" wrapText="1"/>
    </xf>
    <xf numFmtId="3" fontId="14" fillId="7" borderId="1" xfId="0" applyNumberFormat="1" applyFont="1" applyFill="1" applyBorder="1"/>
    <xf numFmtId="41" fontId="11" fillId="0" borderId="0" xfId="0" applyNumberFormat="1" applyFont="1"/>
    <xf numFmtId="41" fontId="14" fillId="0" borderId="0" xfId="0" applyNumberFormat="1" applyFont="1"/>
    <xf numFmtId="41" fontId="14" fillId="7" borderId="1" xfId="0" applyNumberFormat="1" applyFont="1" applyFill="1" applyBorder="1" applyAlignment="1">
      <alignment horizontal="center"/>
    </xf>
    <xf numFmtId="0" fontId="14" fillId="7" borderId="1" xfId="1" applyFont="1" applyFill="1" applyBorder="1" applyAlignment="1">
      <alignment vertical="center" wrapText="1"/>
    </xf>
    <xf numFmtId="0" fontId="14" fillId="7" borderId="1" xfId="1" applyFont="1" applyFill="1" applyBorder="1" applyAlignment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7" borderId="1" xfId="1" applyFont="1" applyFill="1" applyBorder="1" applyAlignment="1">
      <alignment horizontal="left" vertical="center"/>
    </xf>
    <xf numFmtId="164" fontId="14" fillId="7" borderId="1" xfId="1" applyNumberFormat="1" applyFont="1" applyFill="1" applyBorder="1" applyAlignment="1">
      <alignment horizontal="left" vertical="center"/>
    </xf>
    <xf numFmtId="0" fontId="11" fillId="7" borderId="0" xfId="0" applyFont="1" applyFill="1"/>
    <xf numFmtId="0" fontId="4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2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Font="1" applyAlignment="1">
      <alignment horizontal="center" wrapText="1"/>
    </xf>
  </cellXfs>
  <cellStyles count="4">
    <cellStyle name="ArticleBody" xfId="3" xr:uid="{00000000-0005-0000-0000-000000000000}"/>
    <cellStyle name="Comma 2" xfId="2" xr:uid="{00000000-0005-0000-0000-000001000000}"/>
    <cellStyle name="Normal" xfId="0" builtinId="0"/>
    <cellStyle name="Normal 3" xfId="1" xr:uid="{00000000-0005-0000-0000-000003000000}"/>
  </cellStyles>
  <dxfs count="6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579293</xdr:colOff>
      <xdr:row>1</xdr:row>
      <xdr:rowOff>168853</xdr:rowOff>
    </xdr:from>
    <xdr:to>
      <xdr:col>3</xdr:col>
      <xdr:colOff>1801091</xdr:colOff>
      <xdr:row>4</xdr:row>
      <xdr:rowOff>155864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6537C226-6BDF-431D-B719-CA022F41D6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04975" y="385330"/>
          <a:ext cx="1221798" cy="636443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9525</xdr:rowOff>
    </xdr:from>
    <xdr:to>
      <xdr:col>2</xdr:col>
      <xdr:colOff>742951</xdr:colOff>
      <xdr:row>1</xdr:row>
      <xdr:rowOff>285750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44885FE8-B713-4E37-A385-FC719D345B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2426" y="200025"/>
          <a:ext cx="971550" cy="54292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265248</xdr:colOff>
      <xdr:row>1</xdr:row>
      <xdr:rowOff>174171</xdr:rowOff>
    </xdr:from>
    <xdr:to>
      <xdr:col>2</xdr:col>
      <xdr:colOff>1104314</xdr:colOff>
      <xdr:row>4</xdr:row>
      <xdr:rowOff>192602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5DDBCBE2-5E1E-4D04-A7E7-F8A66A96EB1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79548" y="359228"/>
          <a:ext cx="1557523" cy="687903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C766D692-C341-4FF6-BEA4-6419D7BDE606}" userId="S::felipe.castro@ogtic.gob.do::0b6be2a1-b219-44f9-8044-6015522910b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8" dT="2023-08-24T12:51:46.25" personId="{C766D692-C341-4FF6-BEA4-6419D7BDE606}" id="{FF241099-4CE9-4CFD-9E4F-744129819672}">
    <text>MAS 5. CONTAR NUEVAMENTE (145/48=8)</text>
  </threadedComment>
  <threadedComment ref="L44" dT="2023-08-24T12:51:13.60" personId="{C766D692-C341-4FF6-BEA4-6419D7BDE606}" id="{4F48D541-537E-475A-9C65-B9A47FE8255E}">
    <text>ASK RAYSSA</text>
  </threadedComment>
  <threadedComment ref="L45" dT="2023-08-24T12:49:28.98" personId="{C766D692-C341-4FF6-BEA4-6419D7BDE606}" id="{CD812284-C90C-4A42-9146-CA6F3A3FE201}">
    <text>ASK RAYSSA</text>
  </threadedComment>
  <threadedComment ref="L62" dT="2023-08-24T12:53:23.13" personId="{C766D692-C341-4FF6-BEA4-6419D7BDE606}" id="{1F9F32CC-9C8A-41F0-9A24-49C3F9D7A1B1}">
    <text>ASK RAYSSA</text>
  </threadedComment>
  <threadedComment ref="L63" dT="2023-08-24T12:53:14.16" personId="{C766D692-C341-4FF6-BEA4-6419D7BDE606}" id="{BCBB735F-DDE6-4D25-A091-E3ADBC8E34E5}">
    <text>ASK RAYSSA</text>
  </threadedComment>
  <threadedComment ref="L70" dT="2023-08-24T12:52:47.20" personId="{C766D692-C341-4FF6-BEA4-6419D7BDE606}" id="{C7E10D67-BBAC-4300-9EFF-405400802DBF}">
    <text>VER BIEN LA UNIDAD DE MEDIDA</text>
  </threadedComment>
  <threadedComment ref="L171" dT="2023-08-24T12:49:43.42" personId="{C766D692-C341-4FF6-BEA4-6419D7BDE606}" id="{39AA8445-860B-427D-A67D-26982B1E2BA2}">
    <text>PAQUETE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34" dT="2023-08-24T12:51:46.25" personId="{C766D692-C341-4FF6-BEA4-6419D7BDE606}" id="{A22B766F-69BF-450E-A027-2B4D0C081093}">
    <text>MAS 5. CONTAR NUEVAMENTE (145/48=8)</text>
  </threadedComment>
  <threadedComment ref="G76" dT="2023-08-24T12:53:23.13" personId="{C766D692-C341-4FF6-BEA4-6419D7BDE606}" id="{8426E926-C1F6-4F6A-A2FA-F77B94E52D9D}">
    <text>ASK RAYSSA</text>
  </threadedComment>
  <threadedComment ref="G77" dT="2023-08-24T12:53:14.16" personId="{C766D692-C341-4FF6-BEA4-6419D7BDE606}" id="{9ACEC1E9-FAB3-43BD-8EF5-AFCD6D5DE2E0}">
    <text>ASK RAYSSA</text>
  </threadedComment>
  <threadedComment ref="G90" dT="2023-08-24T12:49:43.42" personId="{C766D692-C341-4FF6-BEA4-6419D7BDE606}" id="{C82F6D45-12C9-4BDF-9162-44B944A842EC}">
    <text>PAQUETE</text>
  </threadedComment>
  <threadedComment ref="G112" dT="2023-08-24T12:52:47.20" personId="{C766D692-C341-4FF6-BEA4-6419D7BDE606}" id="{C75958C3-B4E2-4150-8FAD-032C0260122D}">
    <text>VER BIEN LA UNIDAD DE MEDIDA</text>
  </threadedComment>
  <threadedComment ref="G141" dT="2023-08-24T12:51:13.60" personId="{C766D692-C341-4FF6-BEA4-6419D7BDE606}" id="{4FCEB951-09A3-416F-88AE-1BD89C01AA71}">
    <text>ASK RAYSSA</text>
  </threadedComment>
  <threadedComment ref="G144" dT="2023-08-24T12:49:28.98" personId="{C766D692-C341-4FF6-BEA4-6419D7BDE606}" id="{45E1FFD5-BDD1-4954-98EC-F7689084ECBE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86"/>
  <sheetViews>
    <sheetView topLeftCell="C12" zoomScale="110" zoomScaleNormal="110" workbookViewId="0">
      <selection activeCell="K189" sqref="K189"/>
    </sheetView>
  </sheetViews>
  <sheetFormatPr baseColWidth="10" defaultColWidth="10.88671875" defaultRowHeight="14.4" x14ac:dyDescent="0.3"/>
  <cols>
    <col min="1" max="1" width="1.6640625" customWidth="1"/>
    <col min="2" max="2" width="4.88671875" customWidth="1"/>
    <col min="3" max="3" width="10.44140625" customWidth="1"/>
    <col min="4" max="4" width="27.6640625" customWidth="1"/>
    <col min="5" max="5" width="6.44140625" customWidth="1"/>
    <col min="6" max="6" width="11.6640625" customWidth="1"/>
    <col min="7" max="7" width="9.44140625" customWidth="1"/>
    <col min="8" max="8" width="10.109375" customWidth="1"/>
    <col min="9" max="9" width="10.88671875" customWidth="1"/>
    <col min="10" max="10" width="9.109375" bestFit="1" customWidth="1"/>
    <col min="11" max="11" width="11.6640625" bestFit="1" customWidth="1"/>
    <col min="12" max="12" width="10.109375" bestFit="1" customWidth="1"/>
    <col min="13" max="13" width="9.5546875" customWidth="1"/>
    <col min="14" max="14" width="12" customWidth="1"/>
    <col min="15" max="15" width="14.33203125" bestFit="1" customWidth="1"/>
    <col min="16" max="16" width="8.6640625" bestFit="1" customWidth="1"/>
  </cols>
  <sheetData>
    <row r="2" spans="2:17" ht="17.399999999999999" x14ac:dyDescent="0.35">
      <c r="C2" s="1"/>
      <c r="F2" s="2"/>
      <c r="G2" s="3"/>
      <c r="H2" s="3"/>
      <c r="I2" s="3"/>
      <c r="J2" s="4"/>
      <c r="K2" s="5"/>
    </row>
    <row r="3" spans="2:17" ht="17.399999999999999" x14ac:dyDescent="0.35">
      <c r="C3" s="1"/>
      <c r="E3" s="2" t="s">
        <v>0</v>
      </c>
      <c r="F3" s="3"/>
      <c r="G3" s="3"/>
      <c r="H3" s="3"/>
      <c r="I3" s="3"/>
      <c r="J3" s="4"/>
      <c r="K3" s="6"/>
    </row>
    <row r="4" spans="2:17" ht="17.399999999999999" x14ac:dyDescent="0.35">
      <c r="C4" s="1"/>
      <c r="E4" s="2" t="s">
        <v>1</v>
      </c>
      <c r="F4" s="3"/>
      <c r="G4" s="3"/>
      <c r="H4" s="3"/>
      <c r="I4" s="3"/>
      <c r="J4" s="7"/>
      <c r="K4" s="8"/>
    </row>
    <row r="5" spans="2:17" ht="18" x14ac:dyDescent="0.35">
      <c r="C5" s="9"/>
      <c r="E5" s="10" t="s">
        <v>2</v>
      </c>
      <c r="F5" s="10"/>
      <c r="G5" s="10"/>
      <c r="H5" s="10"/>
      <c r="I5" s="10"/>
      <c r="J5" s="9"/>
      <c r="K5" s="9"/>
    </row>
    <row r="6" spans="2:17" x14ac:dyDescent="0.3">
      <c r="C6" s="11"/>
      <c r="D6" s="11"/>
      <c r="E6" s="11"/>
      <c r="F6" s="11"/>
      <c r="G6" s="11"/>
      <c r="H6" s="12"/>
      <c r="I6" s="11"/>
      <c r="J6" s="13"/>
      <c r="K6" s="13"/>
    </row>
    <row r="7" spans="2:17" ht="27" customHeight="1" x14ac:dyDescent="0.3">
      <c r="B7" s="46" t="s">
        <v>3</v>
      </c>
      <c r="C7" s="47" t="s">
        <v>4</v>
      </c>
      <c r="D7" s="47" t="s">
        <v>5</v>
      </c>
      <c r="E7" s="47" t="s">
        <v>6</v>
      </c>
      <c r="F7" s="47" t="s">
        <v>7</v>
      </c>
      <c r="G7" s="47" t="s">
        <v>8</v>
      </c>
      <c r="H7" s="78" t="s">
        <v>9</v>
      </c>
      <c r="I7" s="47" t="s">
        <v>10</v>
      </c>
      <c r="J7" s="48" t="s">
        <v>11</v>
      </c>
      <c r="K7" s="48" t="s">
        <v>12</v>
      </c>
      <c r="L7" s="79" t="s">
        <v>13</v>
      </c>
      <c r="M7" s="48" t="s">
        <v>14</v>
      </c>
      <c r="N7" s="48" t="s">
        <v>15</v>
      </c>
      <c r="O7" s="48" t="s">
        <v>16</v>
      </c>
      <c r="P7" s="48" t="s">
        <v>17</v>
      </c>
    </row>
    <row r="8" spans="2:17" x14ac:dyDescent="0.3">
      <c r="B8" s="49">
        <v>1</v>
      </c>
      <c r="C8" s="50">
        <v>1</v>
      </c>
      <c r="D8" s="20" t="s">
        <v>18</v>
      </c>
      <c r="E8" s="20"/>
      <c r="F8" s="51">
        <v>45149</v>
      </c>
      <c r="G8" s="52"/>
      <c r="H8" s="84">
        <v>0</v>
      </c>
      <c r="I8" s="20" t="s">
        <v>19</v>
      </c>
      <c r="J8" s="75">
        <v>416</v>
      </c>
      <c r="K8" s="53">
        <f>+H8*J8</f>
        <v>0</v>
      </c>
      <c r="L8" s="54">
        <v>156</v>
      </c>
      <c r="M8" s="81">
        <f>+H8-L8</f>
        <v>-156</v>
      </c>
      <c r="N8" s="23">
        <f>+H8*J8</f>
        <v>0</v>
      </c>
      <c r="O8" s="23">
        <f>+L8*J8</f>
        <v>64896</v>
      </c>
      <c r="P8" s="80">
        <f>+O8-N8</f>
        <v>64896</v>
      </c>
    </row>
    <row r="9" spans="2:17" x14ac:dyDescent="0.3">
      <c r="B9" s="18">
        <v>2</v>
      </c>
      <c r="C9" s="50">
        <v>2</v>
      </c>
      <c r="D9" s="20" t="s">
        <v>20</v>
      </c>
      <c r="E9" s="20"/>
      <c r="F9" s="51">
        <v>45149</v>
      </c>
      <c r="G9" s="52"/>
      <c r="H9" s="84">
        <v>0</v>
      </c>
      <c r="I9" s="20" t="s">
        <v>21</v>
      </c>
      <c r="J9" s="75">
        <v>215</v>
      </c>
      <c r="K9" s="53">
        <f t="shared" ref="K9:K71" si="0">+H9*J9</f>
        <v>0</v>
      </c>
      <c r="L9" s="54">
        <v>10.7</v>
      </c>
      <c r="M9" s="81">
        <f t="shared" ref="M9:M72" si="1">+H9-L9</f>
        <v>-10.7</v>
      </c>
      <c r="N9" s="23">
        <f t="shared" ref="N9:N71" si="2">+H9*J9</f>
        <v>0</v>
      </c>
      <c r="O9" s="23">
        <f t="shared" ref="O9:O71" si="3">+L9*J9</f>
        <v>2300.5</v>
      </c>
      <c r="P9" s="80">
        <f t="shared" ref="P9:P71" si="4">+O9-N9</f>
        <v>2300.5</v>
      </c>
    </row>
    <row r="10" spans="2:17" x14ac:dyDescent="0.3">
      <c r="B10" s="18">
        <v>3</v>
      </c>
      <c r="C10" s="50">
        <v>3</v>
      </c>
      <c r="D10" s="20" t="s">
        <v>22</v>
      </c>
      <c r="E10" s="20"/>
      <c r="F10" s="51">
        <v>45149</v>
      </c>
      <c r="G10" s="52"/>
      <c r="H10" s="84">
        <v>0</v>
      </c>
      <c r="I10" s="20" t="s">
        <v>23</v>
      </c>
      <c r="J10" s="75">
        <v>595</v>
      </c>
      <c r="K10" s="53">
        <f t="shared" si="0"/>
        <v>0</v>
      </c>
      <c r="L10" s="54">
        <v>3</v>
      </c>
      <c r="M10" s="81">
        <f t="shared" si="1"/>
        <v>-3</v>
      </c>
      <c r="N10" s="23">
        <f t="shared" si="2"/>
        <v>0</v>
      </c>
      <c r="O10" s="23">
        <f t="shared" si="3"/>
        <v>1785</v>
      </c>
      <c r="P10" s="80">
        <f t="shared" si="4"/>
        <v>1785</v>
      </c>
      <c r="Q10" s="55"/>
    </row>
    <row r="11" spans="2:17" x14ac:dyDescent="0.3">
      <c r="B11" s="49">
        <v>4</v>
      </c>
      <c r="C11" s="56">
        <v>25111903</v>
      </c>
      <c r="D11" s="21" t="s">
        <v>24</v>
      </c>
      <c r="E11" s="49" t="s">
        <v>25</v>
      </c>
      <c r="F11" s="57" t="s">
        <v>26</v>
      </c>
      <c r="G11" s="57" t="s">
        <v>26</v>
      </c>
      <c r="H11" s="85" t="s">
        <v>27</v>
      </c>
      <c r="I11" s="58" t="s">
        <v>28</v>
      </c>
      <c r="J11" s="59">
        <v>125</v>
      </c>
      <c r="K11" s="53">
        <f t="shared" si="0"/>
        <v>7500</v>
      </c>
      <c r="L11" s="54">
        <f>192+13</f>
        <v>205</v>
      </c>
      <c r="M11" s="81">
        <f t="shared" si="1"/>
        <v>-145</v>
      </c>
      <c r="N11" s="23">
        <f t="shared" si="2"/>
        <v>7500</v>
      </c>
      <c r="O11" s="23">
        <f t="shared" si="3"/>
        <v>25625</v>
      </c>
      <c r="P11" s="80">
        <f t="shared" si="4"/>
        <v>18125</v>
      </c>
      <c r="Q11" s="55"/>
    </row>
    <row r="12" spans="2:17" x14ac:dyDescent="0.3">
      <c r="B12" s="49">
        <v>5</v>
      </c>
      <c r="C12" s="56">
        <v>50161814</v>
      </c>
      <c r="D12" s="21" t="s">
        <v>29</v>
      </c>
      <c r="E12" s="49" t="s">
        <v>25</v>
      </c>
      <c r="F12" s="57" t="s">
        <v>30</v>
      </c>
      <c r="G12" s="57" t="s">
        <v>31</v>
      </c>
      <c r="H12" s="85" t="s">
        <v>32</v>
      </c>
      <c r="I12" s="58" t="s">
        <v>33</v>
      </c>
      <c r="J12" s="59">
        <v>240</v>
      </c>
      <c r="K12" s="53">
        <f t="shared" si="0"/>
        <v>36000</v>
      </c>
      <c r="L12" s="54">
        <f>220+160+39+280</f>
        <v>699</v>
      </c>
      <c r="M12" s="81">
        <f t="shared" si="1"/>
        <v>-549</v>
      </c>
      <c r="N12" s="23">
        <f t="shared" si="2"/>
        <v>36000</v>
      </c>
      <c r="O12" s="23">
        <f t="shared" si="3"/>
        <v>167760</v>
      </c>
      <c r="P12" s="80">
        <f t="shared" si="4"/>
        <v>131760</v>
      </c>
      <c r="Q12" s="55"/>
    </row>
    <row r="13" spans="2:17" x14ac:dyDescent="0.3">
      <c r="B13" s="18">
        <v>6</v>
      </c>
      <c r="C13" s="50">
        <v>4</v>
      </c>
      <c r="D13" s="20" t="s">
        <v>34</v>
      </c>
      <c r="E13" s="20"/>
      <c r="F13" s="51">
        <v>45149</v>
      </c>
      <c r="G13" s="77"/>
      <c r="H13" s="84">
        <v>0</v>
      </c>
      <c r="I13" s="20" t="s">
        <v>28</v>
      </c>
      <c r="J13" s="76">
        <v>220.99</v>
      </c>
      <c r="K13" s="53">
        <f t="shared" si="0"/>
        <v>0</v>
      </c>
      <c r="L13" s="54">
        <v>4</v>
      </c>
      <c r="M13" s="81">
        <f t="shared" si="1"/>
        <v>-4</v>
      </c>
      <c r="N13" s="23">
        <f t="shared" si="2"/>
        <v>0</v>
      </c>
      <c r="O13" s="23">
        <f t="shared" si="3"/>
        <v>883.96</v>
      </c>
      <c r="P13" s="80">
        <f t="shared" si="4"/>
        <v>883.96</v>
      </c>
    </row>
    <row r="14" spans="2:17" x14ac:dyDescent="0.3">
      <c r="B14" s="18">
        <v>7</v>
      </c>
      <c r="C14" s="56">
        <v>53102509</v>
      </c>
      <c r="D14" s="21" t="s">
        <v>35</v>
      </c>
      <c r="E14" s="49" t="s">
        <v>25</v>
      </c>
      <c r="F14" s="57" t="s">
        <v>36</v>
      </c>
      <c r="G14" s="57" t="s">
        <v>36</v>
      </c>
      <c r="H14" s="85" t="s">
        <v>37</v>
      </c>
      <c r="I14" s="58" t="s">
        <v>38</v>
      </c>
      <c r="J14" s="59">
        <v>34</v>
      </c>
      <c r="K14" s="53">
        <f t="shared" si="0"/>
        <v>6800</v>
      </c>
      <c r="L14" s="54">
        <v>188</v>
      </c>
      <c r="M14" s="81">
        <f t="shared" si="1"/>
        <v>12</v>
      </c>
      <c r="N14" s="23">
        <f t="shared" si="2"/>
        <v>6800</v>
      </c>
      <c r="O14" s="23">
        <f t="shared" si="3"/>
        <v>6392</v>
      </c>
      <c r="P14" s="80">
        <f t="shared" si="4"/>
        <v>-408</v>
      </c>
    </row>
    <row r="15" spans="2:17" x14ac:dyDescent="0.3">
      <c r="B15" s="49">
        <v>8</v>
      </c>
      <c r="C15" s="50">
        <v>5</v>
      </c>
      <c r="D15" s="20" t="s">
        <v>39</v>
      </c>
      <c r="E15" s="20"/>
      <c r="F15" s="51">
        <v>45149</v>
      </c>
      <c r="G15" s="77"/>
      <c r="H15" s="84">
        <v>0</v>
      </c>
      <c r="I15" s="20" t="s">
        <v>28</v>
      </c>
      <c r="J15" s="76">
        <v>918.74</v>
      </c>
      <c r="K15" s="53">
        <f t="shared" si="0"/>
        <v>0</v>
      </c>
      <c r="L15" s="54">
        <v>10</v>
      </c>
      <c r="M15" s="81">
        <f t="shared" si="1"/>
        <v>-10</v>
      </c>
      <c r="N15" s="23">
        <f t="shared" si="2"/>
        <v>0</v>
      </c>
      <c r="O15" s="23">
        <f t="shared" si="3"/>
        <v>9187.4</v>
      </c>
      <c r="P15" s="80">
        <f t="shared" si="4"/>
        <v>9187.4</v>
      </c>
    </row>
    <row r="16" spans="2:17" x14ac:dyDescent="0.3">
      <c r="B16" s="49">
        <v>9</v>
      </c>
      <c r="C16" s="56" t="s">
        <v>40</v>
      </c>
      <c r="D16" s="21" t="s">
        <v>41</v>
      </c>
      <c r="E16" s="49" t="s">
        <v>25</v>
      </c>
      <c r="F16" s="57" t="s">
        <v>36</v>
      </c>
      <c r="G16" s="57" t="s">
        <v>36</v>
      </c>
      <c r="H16" s="85" t="s">
        <v>42</v>
      </c>
      <c r="I16" s="58" t="s">
        <v>43</v>
      </c>
      <c r="J16" s="59">
        <v>80</v>
      </c>
      <c r="K16" s="53">
        <f t="shared" si="0"/>
        <v>16800</v>
      </c>
      <c r="L16" s="54">
        <v>295</v>
      </c>
      <c r="M16" s="81">
        <f t="shared" si="1"/>
        <v>-85</v>
      </c>
      <c r="N16" s="23">
        <f t="shared" si="2"/>
        <v>16800</v>
      </c>
      <c r="O16" s="23">
        <f t="shared" si="3"/>
        <v>23600</v>
      </c>
      <c r="P16" s="80">
        <f t="shared" si="4"/>
        <v>6800</v>
      </c>
    </row>
    <row r="17" spans="2:16" x14ac:dyDescent="0.3">
      <c r="B17" s="18">
        <v>10</v>
      </c>
      <c r="C17" s="56" t="s">
        <v>44</v>
      </c>
      <c r="D17" s="21" t="s">
        <v>45</v>
      </c>
      <c r="E17" s="49" t="s">
        <v>25</v>
      </c>
      <c r="F17" s="57" t="s">
        <v>36</v>
      </c>
      <c r="G17" s="57" t="s">
        <v>36</v>
      </c>
      <c r="H17" s="85" t="s">
        <v>46</v>
      </c>
      <c r="I17" s="58" t="s">
        <v>43</v>
      </c>
      <c r="J17" s="59">
        <v>80</v>
      </c>
      <c r="K17" s="53">
        <f t="shared" si="0"/>
        <v>1040</v>
      </c>
      <c r="L17" s="54">
        <f>96+32</f>
        <v>128</v>
      </c>
      <c r="M17" s="81">
        <f t="shared" si="1"/>
        <v>-115</v>
      </c>
      <c r="N17" s="23">
        <f t="shared" si="2"/>
        <v>1040</v>
      </c>
      <c r="O17" s="23">
        <f t="shared" si="3"/>
        <v>10240</v>
      </c>
      <c r="P17" s="80">
        <f t="shared" si="4"/>
        <v>9200</v>
      </c>
    </row>
    <row r="18" spans="2:16" x14ac:dyDescent="0.3">
      <c r="B18" s="18">
        <v>11</v>
      </c>
      <c r="C18" s="56">
        <v>60121535</v>
      </c>
      <c r="D18" s="21" t="s">
        <v>47</v>
      </c>
      <c r="E18" s="49" t="s">
        <v>25</v>
      </c>
      <c r="F18" s="57" t="s">
        <v>36</v>
      </c>
      <c r="G18" s="57" t="s">
        <v>36</v>
      </c>
      <c r="H18" s="85" t="s">
        <v>48</v>
      </c>
      <c r="I18" s="58" t="s">
        <v>28</v>
      </c>
      <c r="J18" s="59">
        <v>8</v>
      </c>
      <c r="K18" s="53">
        <f t="shared" si="0"/>
        <v>560</v>
      </c>
      <c r="L18" s="54">
        <f>51+60</f>
        <v>111</v>
      </c>
      <c r="M18" s="81">
        <f t="shared" si="1"/>
        <v>-41</v>
      </c>
      <c r="N18" s="23">
        <f t="shared" si="2"/>
        <v>560</v>
      </c>
      <c r="O18" s="23">
        <f t="shared" si="3"/>
        <v>888</v>
      </c>
      <c r="P18" s="80">
        <f t="shared" si="4"/>
        <v>328</v>
      </c>
    </row>
    <row r="19" spans="2:16" x14ac:dyDescent="0.3">
      <c r="B19" s="49">
        <v>12</v>
      </c>
      <c r="C19" s="56">
        <v>44121804</v>
      </c>
      <c r="D19" s="21" t="s">
        <v>49</v>
      </c>
      <c r="E19" s="49" t="s">
        <v>25</v>
      </c>
      <c r="F19" s="57" t="s">
        <v>50</v>
      </c>
      <c r="G19" s="57" t="s">
        <v>51</v>
      </c>
      <c r="H19" s="85" t="s">
        <v>52</v>
      </c>
      <c r="I19" s="58" t="s">
        <v>28</v>
      </c>
      <c r="J19" s="59">
        <v>36</v>
      </c>
      <c r="K19" s="53">
        <f t="shared" si="0"/>
        <v>36</v>
      </c>
      <c r="L19" s="54">
        <v>0</v>
      </c>
      <c r="M19" s="81">
        <f t="shared" si="1"/>
        <v>1</v>
      </c>
      <c r="N19" s="23">
        <f t="shared" si="2"/>
        <v>36</v>
      </c>
      <c r="O19" s="23">
        <f t="shared" si="3"/>
        <v>0</v>
      </c>
      <c r="P19" s="80">
        <f t="shared" si="4"/>
        <v>-36</v>
      </c>
    </row>
    <row r="20" spans="2:16" x14ac:dyDescent="0.3">
      <c r="B20" s="49">
        <v>13</v>
      </c>
      <c r="C20" s="56">
        <v>50201706</v>
      </c>
      <c r="D20" s="21" t="s">
        <v>53</v>
      </c>
      <c r="E20" s="49" t="s">
        <v>25</v>
      </c>
      <c r="F20" s="57" t="s">
        <v>30</v>
      </c>
      <c r="G20" s="57"/>
      <c r="H20" s="85">
        <v>0</v>
      </c>
      <c r="I20" s="58" t="s">
        <v>54</v>
      </c>
      <c r="J20" s="59">
        <v>406</v>
      </c>
      <c r="K20" s="53">
        <f t="shared" si="0"/>
        <v>0</v>
      </c>
      <c r="L20" s="54">
        <v>150</v>
      </c>
      <c r="M20" s="81">
        <f t="shared" si="1"/>
        <v>-150</v>
      </c>
      <c r="N20" s="23">
        <f t="shared" si="2"/>
        <v>0</v>
      </c>
      <c r="O20" s="23">
        <f t="shared" si="3"/>
        <v>60900</v>
      </c>
      <c r="P20" s="80">
        <f t="shared" si="4"/>
        <v>60900</v>
      </c>
    </row>
    <row r="21" spans="2:16" x14ac:dyDescent="0.3">
      <c r="B21" s="18">
        <v>14</v>
      </c>
      <c r="C21" s="56">
        <v>44122003</v>
      </c>
      <c r="D21" s="21" t="s">
        <v>55</v>
      </c>
      <c r="E21" s="49" t="s">
        <v>25</v>
      </c>
      <c r="F21" s="57">
        <v>44105</v>
      </c>
      <c r="G21" s="57" t="s">
        <v>51</v>
      </c>
      <c r="H21" s="85" t="s">
        <v>56</v>
      </c>
      <c r="I21" s="58" t="s">
        <v>28</v>
      </c>
      <c r="J21" s="59">
        <v>165</v>
      </c>
      <c r="K21" s="53">
        <f t="shared" si="0"/>
        <v>5775</v>
      </c>
      <c r="L21" s="54">
        <v>3</v>
      </c>
      <c r="M21" s="81">
        <f t="shared" si="1"/>
        <v>32</v>
      </c>
      <c r="N21" s="23">
        <f t="shared" si="2"/>
        <v>5775</v>
      </c>
      <c r="O21" s="23">
        <f t="shared" si="3"/>
        <v>495</v>
      </c>
      <c r="P21" s="80">
        <f t="shared" si="4"/>
        <v>-5280</v>
      </c>
    </row>
    <row r="22" spans="2:16" x14ac:dyDescent="0.3">
      <c r="B22" s="18">
        <v>15</v>
      </c>
      <c r="C22" s="50">
        <v>6</v>
      </c>
      <c r="D22" s="20" t="s">
        <v>57</v>
      </c>
      <c r="E22" s="20"/>
      <c r="F22" s="51">
        <v>45149</v>
      </c>
      <c r="G22" s="52"/>
      <c r="H22" s="84">
        <v>0</v>
      </c>
      <c r="I22" s="20" t="s">
        <v>28</v>
      </c>
      <c r="J22" s="75">
        <v>120</v>
      </c>
      <c r="K22" s="53">
        <f t="shared" si="0"/>
        <v>0</v>
      </c>
      <c r="L22" s="54">
        <v>43</v>
      </c>
      <c r="M22" s="81">
        <f t="shared" si="1"/>
        <v>-43</v>
      </c>
      <c r="N22" s="23">
        <f t="shared" si="2"/>
        <v>0</v>
      </c>
      <c r="O22" s="23">
        <f t="shared" si="3"/>
        <v>5160</v>
      </c>
      <c r="P22" s="80">
        <f t="shared" si="4"/>
        <v>5160</v>
      </c>
    </row>
    <row r="23" spans="2:16" x14ac:dyDescent="0.3">
      <c r="B23" s="49">
        <v>16</v>
      </c>
      <c r="C23" s="50">
        <v>7</v>
      </c>
      <c r="D23" s="20" t="s">
        <v>58</v>
      </c>
      <c r="E23" s="20"/>
      <c r="F23" s="51">
        <v>45149</v>
      </c>
      <c r="G23" s="52"/>
      <c r="H23" s="84">
        <v>0</v>
      </c>
      <c r="I23" s="20" t="s">
        <v>28</v>
      </c>
      <c r="J23" s="75">
        <v>133.61000000000001</v>
      </c>
      <c r="K23" s="53">
        <f t="shared" si="0"/>
        <v>0</v>
      </c>
      <c r="L23" s="54">
        <v>2</v>
      </c>
      <c r="M23" s="81">
        <f t="shared" si="1"/>
        <v>-2</v>
      </c>
      <c r="N23" s="23">
        <f t="shared" si="2"/>
        <v>0</v>
      </c>
      <c r="O23" s="23">
        <f t="shared" si="3"/>
        <v>267.22000000000003</v>
      </c>
      <c r="P23" s="80">
        <f t="shared" si="4"/>
        <v>267.22000000000003</v>
      </c>
    </row>
    <row r="24" spans="2:16" x14ac:dyDescent="0.3">
      <c r="B24" s="49">
        <v>17</v>
      </c>
      <c r="C24" s="56" t="s">
        <v>59</v>
      </c>
      <c r="D24" s="21" t="s">
        <v>60</v>
      </c>
      <c r="E24" s="49" t="s">
        <v>25</v>
      </c>
      <c r="F24" s="57" t="s">
        <v>36</v>
      </c>
      <c r="G24" s="57" t="s">
        <v>36</v>
      </c>
      <c r="H24" s="85" t="s">
        <v>42</v>
      </c>
      <c r="I24" s="58" t="s">
        <v>28</v>
      </c>
      <c r="J24" s="59">
        <v>225</v>
      </c>
      <c r="K24" s="53">
        <f t="shared" si="0"/>
        <v>47250</v>
      </c>
      <c r="L24" s="54">
        <v>218</v>
      </c>
      <c r="M24" s="81">
        <f t="shared" si="1"/>
        <v>-8</v>
      </c>
      <c r="N24" s="23">
        <f t="shared" si="2"/>
        <v>47250</v>
      </c>
      <c r="O24" s="23">
        <f t="shared" si="3"/>
        <v>49050</v>
      </c>
      <c r="P24" s="80">
        <f t="shared" si="4"/>
        <v>1800</v>
      </c>
    </row>
    <row r="25" spans="2:16" x14ac:dyDescent="0.3">
      <c r="B25" s="18">
        <v>18</v>
      </c>
      <c r="C25" s="56" t="s">
        <v>59</v>
      </c>
      <c r="D25" s="21" t="s">
        <v>61</v>
      </c>
      <c r="E25" s="49" t="s">
        <v>25</v>
      </c>
      <c r="F25" s="57" t="s">
        <v>36</v>
      </c>
      <c r="G25" s="57" t="s">
        <v>36</v>
      </c>
      <c r="H25" s="85" t="s">
        <v>62</v>
      </c>
      <c r="I25" s="58" t="s">
        <v>28</v>
      </c>
      <c r="J25" s="59">
        <v>330</v>
      </c>
      <c r="K25" s="53">
        <f t="shared" si="0"/>
        <v>41250</v>
      </c>
      <c r="L25" s="54">
        <v>120</v>
      </c>
      <c r="M25" s="81">
        <f t="shared" si="1"/>
        <v>5</v>
      </c>
      <c r="N25" s="23">
        <f t="shared" si="2"/>
        <v>41250</v>
      </c>
      <c r="O25" s="23">
        <f t="shared" si="3"/>
        <v>39600</v>
      </c>
      <c r="P25" s="80">
        <f t="shared" si="4"/>
        <v>-1650</v>
      </c>
    </row>
    <row r="26" spans="2:16" x14ac:dyDescent="0.3">
      <c r="B26" s="18">
        <v>19</v>
      </c>
      <c r="C26" s="56">
        <v>44122003</v>
      </c>
      <c r="D26" s="21" t="s">
        <v>63</v>
      </c>
      <c r="E26" s="49" t="s">
        <v>25</v>
      </c>
      <c r="F26" s="57" t="s">
        <v>30</v>
      </c>
      <c r="G26" s="57">
        <v>43914</v>
      </c>
      <c r="H26" s="85" t="s">
        <v>64</v>
      </c>
      <c r="I26" s="58" t="s">
        <v>28</v>
      </c>
      <c r="J26" s="59">
        <v>551</v>
      </c>
      <c r="K26" s="53">
        <f t="shared" si="0"/>
        <v>96976</v>
      </c>
      <c r="L26" s="54">
        <v>175</v>
      </c>
      <c r="M26" s="81">
        <f t="shared" si="1"/>
        <v>1</v>
      </c>
      <c r="N26" s="23">
        <f t="shared" si="2"/>
        <v>96976</v>
      </c>
      <c r="O26" s="23">
        <f t="shared" si="3"/>
        <v>96425</v>
      </c>
      <c r="P26" s="80">
        <f t="shared" si="4"/>
        <v>-551</v>
      </c>
    </row>
    <row r="27" spans="2:16" x14ac:dyDescent="0.3">
      <c r="B27" s="49">
        <v>20</v>
      </c>
      <c r="C27" s="50">
        <v>44103103</v>
      </c>
      <c r="D27" s="21" t="s">
        <v>65</v>
      </c>
      <c r="E27" s="49" t="s">
        <v>25</v>
      </c>
      <c r="F27" s="57">
        <v>43248</v>
      </c>
      <c r="G27" s="57">
        <v>43248</v>
      </c>
      <c r="H27" s="85" t="s">
        <v>66</v>
      </c>
      <c r="I27" s="58" t="s">
        <v>28</v>
      </c>
      <c r="J27" s="59">
        <v>2036</v>
      </c>
      <c r="K27" s="53">
        <f t="shared" si="0"/>
        <v>10180</v>
      </c>
      <c r="L27" s="54">
        <v>5</v>
      </c>
      <c r="M27" s="81">
        <f t="shared" si="1"/>
        <v>0</v>
      </c>
      <c r="N27" s="23">
        <f t="shared" si="2"/>
        <v>10180</v>
      </c>
      <c r="O27" s="23">
        <f t="shared" si="3"/>
        <v>10180</v>
      </c>
      <c r="P27" s="80">
        <f t="shared" si="4"/>
        <v>0</v>
      </c>
    </row>
    <row r="28" spans="2:16" x14ac:dyDescent="0.3">
      <c r="B28" s="49">
        <v>21</v>
      </c>
      <c r="C28" s="50">
        <v>44103103</v>
      </c>
      <c r="D28" s="21" t="s">
        <v>67</v>
      </c>
      <c r="E28" s="49" t="s">
        <v>25</v>
      </c>
      <c r="F28" s="57">
        <v>43248</v>
      </c>
      <c r="G28" s="57">
        <v>43248</v>
      </c>
      <c r="H28" s="85" t="s">
        <v>66</v>
      </c>
      <c r="I28" s="58" t="s">
        <v>28</v>
      </c>
      <c r="J28" s="59">
        <v>1475</v>
      </c>
      <c r="K28" s="53">
        <f t="shared" si="0"/>
        <v>7375</v>
      </c>
      <c r="L28" s="54">
        <v>4</v>
      </c>
      <c r="M28" s="81">
        <f t="shared" si="1"/>
        <v>1</v>
      </c>
      <c r="N28" s="23">
        <f t="shared" si="2"/>
        <v>7375</v>
      </c>
      <c r="O28" s="23">
        <f t="shared" si="3"/>
        <v>5900</v>
      </c>
      <c r="P28" s="80">
        <f t="shared" si="4"/>
        <v>-1475</v>
      </c>
    </row>
    <row r="29" spans="2:16" x14ac:dyDescent="0.3">
      <c r="B29" s="18">
        <v>22</v>
      </c>
      <c r="C29" s="50">
        <v>44103103</v>
      </c>
      <c r="D29" s="21" t="s">
        <v>68</v>
      </c>
      <c r="E29" s="49" t="s">
        <v>25</v>
      </c>
      <c r="F29" s="57">
        <v>43248</v>
      </c>
      <c r="G29" s="57">
        <v>43248</v>
      </c>
      <c r="H29" s="85" t="s">
        <v>69</v>
      </c>
      <c r="I29" s="58" t="s">
        <v>28</v>
      </c>
      <c r="J29" s="59">
        <v>1475</v>
      </c>
      <c r="K29" s="53">
        <f t="shared" si="0"/>
        <v>8850</v>
      </c>
      <c r="L29" s="54">
        <v>5</v>
      </c>
      <c r="M29" s="81">
        <f t="shared" si="1"/>
        <v>1</v>
      </c>
      <c r="N29" s="23">
        <f t="shared" si="2"/>
        <v>8850</v>
      </c>
      <c r="O29" s="23">
        <f t="shared" si="3"/>
        <v>7375</v>
      </c>
      <c r="P29" s="80">
        <f t="shared" si="4"/>
        <v>-1475</v>
      </c>
    </row>
    <row r="30" spans="2:16" x14ac:dyDescent="0.3">
      <c r="B30" s="18">
        <v>23</v>
      </c>
      <c r="C30" s="50">
        <v>44103103</v>
      </c>
      <c r="D30" s="21" t="s">
        <v>70</v>
      </c>
      <c r="E30" s="49" t="s">
        <v>25</v>
      </c>
      <c r="F30" s="57">
        <v>43248</v>
      </c>
      <c r="G30" s="57">
        <v>43248</v>
      </c>
      <c r="H30" s="85" t="s">
        <v>69</v>
      </c>
      <c r="I30" s="58" t="s">
        <v>28</v>
      </c>
      <c r="J30" s="59">
        <v>1475</v>
      </c>
      <c r="K30" s="53">
        <f t="shared" si="0"/>
        <v>8850</v>
      </c>
      <c r="L30" s="54">
        <v>5</v>
      </c>
      <c r="M30" s="81">
        <f t="shared" si="1"/>
        <v>1</v>
      </c>
      <c r="N30" s="23">
        <f t="shared" si="2"/>
        <v>8850</v>
      </c>
      <c r="O30" s="23">
        <f t="shared" si="3"/>
        <v>7375</v>
      </c>
      <c r="P30" s="80">
        <f t="shared" si="4"/>
        <v>-1475</v>
      </c>
    </row>
    <row r="31" spans="2:16" x14ac:dyDescent="0.3">
      <c r="B31" s="49">
        <v>24</v>
      </c>
      <c r="C31" s="50">
        <v>8</v>
      </c>
      <c r="D31" s="20" t="s">
        <v>71</v>
      </c>
      <c r="E31" s="20"/>
      <c r="F31" s="51">
        <v>45149</v>
      </c>
      <c r="G31" s="52"/>
      <c r="H31" s="84">
        <v>0</v>
      </c>
      <c r="I31" s="20" t="s">
        <v>28</v>
      </c>
      <c r="J31" s="75">
        <v>75</v>
      </c>
      <c r="K31" s="53">
        <f t="shared" si="0"/>
        <v>0</v>
      </c>
      <c r="L31" s="54">
        <f>18+12+19</f>
        <v>49</v>
      </c>
      <c r="M31" s="81">
        <f t="shared" si="1"/>
        <v>-49</v>
      </c>
      <c r="N31" s="23">
        <f t="shared" si="2"/>
        <v>0</v>
      </c>
      <c r="O31" s="23">
        <f t="shared" si="3"/>
        <v>3675</v>
      </c>
      <c r="P31" s="80">
        <f t="shared" si="4"/>
        <v>3675</v>
      </c>
    </row>
    <row r="32" spans="2:16" x14ac:dyDescent="0.3">
      <c r="B32" s="49">
        <v>25</v>
      </c>
      <c r="C32" s="56">
        <v>44121635</v>
      </c>
      <c r="D32" s="21" t="s">
        <v>72</v>
      </c>
      <c r="E32" s="49" t="s">
        <v>25</v>
      </c>
      <c r="F32" s="57" t="s">
        <v>36</v>
      </c>
      <c r="G32" s="57" t="s">
        <v>36</v>
      </c>
      <c r="H32" s="85" t="s">
        <v>73</v>
      </c>
      <c r="I32" s="58" t="s">
        <v>28</v>
      </c>
      <c r="J32" s="59">
        <v>113</v>
      </c>
      <c r="K32" s="53">
        <f t="shared" si="0"/>
        <v>13447</v>
      </c>
      <c r="L32" s="54">
        <v>105</v>
      </c>
      <c r="M32" s="81">
        <f t="shared" si="1"/>
        <v>14</v>
      </c>
      <c r="N32" s="23">
        <f t="shared" si="2"/>
        <v>13447</v>
      </c>
      <c r="O32" s="23">
        <f t="shared" si="3"/>
        <v>11865</v>
      </c>
      <c r="P32" s="80">
        <f t="shared" si="4"/>
        <v>-1582</v>
      </c>
    </row>
    <row r="33" spans="2:16" x14ac:dyDescent="0.3">
      <c r="B33" s="18">
        <v>26</v>
      </c>
      <c r="C33" s="56">
        <v>44121635</v>
      </c>
      <c r="D33" s="21" t="s">
        <v>74</v>
      </c>
      <c r="E33" s="49" t="s">
        <v>25</v>
      </c>
      <c r="F33" s="57" t="s">
        <v>36</v>
      </c>
      <c r="G33" s="57" t="s">
        <v>36</v>
      </c>
      <c r="H33" s="85" t="s">
        <v>75</v>
      </c>
      <c r="I33" s="58" t="s">
        <v>28</v>
      </c>
      <c r="J33" s="59">
        <v>80</v>
      </c>
      <c r="K33" s="53">
        <f t="shared" si="0"/>
        <v>16720</v>
      </c>
      <c r="L33" s="54">
        <v>451</v>
      </c>
      <c r="M33" s="81">
        <f t="shared" si="1"/>
        <v>-242</v>
      </c>
      <c r="N33" s="23">
        <f t="shared" si="2"/>
        <v>16720</v>
      </c>
      <c r="O33" s="23">
        <f t="shared" si="3"/>
        <v>36080</v>
      </c>
      <c r="P33" s="80">
        <f t="shared" si="4"/>
        <v>19360</v>
      </c>
    </row>
    <row r="34" spans="2:16" x14ac:dyDescent="0.3">
      <c r="B34" s="18">
        <v>27</v>
      </c>
      <c r="C34" s="56" t="s">
        <v>76</v>
      </c>
      <c r="D34" s="21" t="s">
        <v>77</v>
      </c>
      <c r="E34" s="49" t="s">
        <v>25</v>
      </c>
      <c r="F34" s="57">
        <v>43510</v>
      </c>
      <c r="G34" s="57">
        <v>43510</v>
      </c>
      <c r="H34" s="85" t="s">
        <v>78</v>
      </c>
      <c r="I34" s="58" t="s">
        <v>28</v>
      </c>
      <c r="J34" s="59">
        <v>70.8</v>
      </c>
      <c r="K34" s="53">
        <f t="shared" si="0"/>
        <v>1416</v>
      </c>
      <c r="L34" s="54">
        <v>23</v>
      </c>
      <c r="M34" s="81">
        <f t="shared" si="1"/>
        <v>-3</v>
      </c>
      <c r="N34" s="23">
        <f t="shared" si="2"/>
        <v>1416</v>
      </c>
      <c r="O34" s="23">
        <f t="shared" si="3"/>
        <v>1628.3999999999999</v>
      </c>
      <c r="P34" s="80">
        <f t="shared" si="4"/>
        <v>212.39999999999986</v>
      </c>
    </row>
    <row r="35" spans="2:16" x14ac:dyDescent="0.3">
      <c r="B35" s="49">
        <v>28</v>
      </c>
      <c r="C35" s="50">
        <v>9</v>
      </c>
      <c r="D35" s="20" t="s">
        <v>79</v>
      </c>
      <c r="E35" s="20"/>
      <c r="F35" s="51">
        <v>45149</v>
      </c>
      <c r="G35" s="52"/>
      <c r="H35" s="84">
        <v>0</v>
      </c>
      <c r="I35" s="20" t="s">
        <v>21</v>
      </c>
      <c r="J35" s="75">
        <v>130</v>
      </c>
      <c r="K35" s="53">
        <f t="shared" si="0"/>
        <v>0</v>
      </c>
      <c r="L35" s="54">
        <v>7.8</v>
      </c>
      <c r="M35" s="81">
        <f t="shared" si="1"/>
        <v>-7.8</v>
      </c>
      <c r="N35" s="23">
        <f t="shared" si="2"/>
        <v>0</v>
      </c>
      <c r="O35" s="23">
        <f t="shared" si="3"/>
        <v>1014</v>
      </c>
      <c r="P35" s="80">
        <f t="shared" si="4"/>
        <v>1014</v>
      </c>
    </row>
    <row r="36" spans="2:16" x14ac:dyDescent="0.3">
      <c r="B36" s="49">
        <v>29</v>
      </c>
      <c r="C36" s="56" t="s">
        <v>80</v>
      </c>
      <c r="D36" s="21" t="s">
        <v>81</v>
      </c>
      <c r="E36" s="49" t="s">
        <v>25</v>
      </c>
      <c r="F36" s="57">
        <v>43418</v>
      </c>
      <c r="G36" s="57" t="s">
        <v>51</v>
      </c>
      <c r="H36" s="85">
        <v>8</v>
      </c>
      <c r="I36" s="58" t="s">
        <v>82</v>
      </c>
      <c r="J36" s="59">
        <v>130</v>
      </c>
      <c r="K36" s="53">
        <f t="shared" si="0"/>
        <v>1040</v>
      </c>
      <c r="L36" s="60">
        <v>7.8</v>
      </c>
      <c r="M36" s="81">
        <f t="shared" si="1"/>
        <v>0.20000000000000018</v>
      </c>
      <c r="N36" s="23">
        <f t="shared" si="2"/>
        <v>1040</v>
      </c>
      <c r="O36" s="23">
        <f t="shared" si="3"/>
        <v>1014</v>
      </c>
      <c r="P36" s="80">
        <f t="shared" si="4"/>
        <v>-26</v>
      </c>
    </row>
    <row r="37" spans="2:16" x14ac:dyDescent="0.3">
      <c r="B37" s="18">
        <v>30</v>
      </c>
      <c r="C37" s="56" t="s">
        <v>80</v>
      </c>
      <c r="D37" s="21" t="s">
        <v>83</v>
      </c>
      <c r="E37" s="49" t="s">
        <v>25</v>
      </c>
      <c r="F37" s="57">
        <v>43418</v>
      </c>
      <c r="G37" s="57" t="s">
        <v>51</v>
      </c>
      <c r="H37" s="85" t="s">
        <v>84</v>
      </c>
      <c r="I37" s="58" t="s">
        <v>82</v>
      </c>
      <c r="J37" s="59">
        <v>100</v>
      </c>
      <c r="K37" s="53">
        <f t="shared" si="0"/>
        <v>1100</v>
      </c>
      <c r="L37" s="60">
        <v>19.3</v>
      </c>
      <c r="M37" s="81">
        <f t="shared" si="1"/>
        <v>-8.3000000000000007</v>
      </c>
      <c r="N37" s="23">
        <f t="shared" si="2"/>
        <v>1100</v>
      </c>
      <c r="O37" s="23">
        <f t="shared" si="3"/>
        <v>1930</v>
      </c>
      <c r="P37" s="80">
        <f t="shared" si="4"/>
        <v>830</v>
      </c>
    </row>
    <row r="38" spans="2:16" x14ac:dyDescent="0.3">
      <c r="B38" s="18">
        <v>31</v>
      </c>
      <c r="C38" s="56">
        <v>44122105</v>
      </c>
      <c r="D38" s="21" t="s">
        <v>85</v>
      </c>
      <c r="E38" s="49" t="s">
        <v>25</v>
      </c>
      <c r="F38" s="57" t="s">
        <v>86</v>
      </c>
      <c r="G38" s="57" t="s">
        <v>51</v>
      </c>
      <c r="H38" s="85" t="s">
        <v>87</v>
      </c>
      <c r="I38" s="58" t="s">
        <v>38</v>
      </c>
      <c r="J38" s="59">
        <v>28</v>
      </c>
      <c r="K38" s="53">
        <f t="shared" si="0"/>
        <v>5320</v>
      </c>
      <c r="L38" s="54">
        <v>193</v>
      </c>
      <c r="M38" s="81">
        <f t="shared" si="1"/>
        <v>-3</v>
      </c>
      <c r="N38" s="23">
        <f t="shared" si="2"/>
        <v>5320</v>
      </c>
      <c r="O38" s="23">
        <f t="shared" si="3"/>
        <v>5404</v>
      </c>
      <c r="P38" s="80">
        <f t="shared" si="4"/>
        <v>84</v>
      </c>
    </row>
    <row r="39" spans="2:16" x14ac:dyDescent="0.3">
      <c r="B39" s="49">
        <v>32</v>
      </c>
      <c r="C39" s="56">
        <v>44122105</v>
      </c>
      <c r="D39" s="21" t="s">
        <v>88</v>
      </c>
      <c r="E39" s="49" t="s">
        <v>25</v>
      </c>
      <c r="F39" s="57" t="s">
        <v>86</v>
      </c>
      <c r="G39" s="57" t="s">
        <v>51</v>
      </c>
      <c r="H39" s="85" t="s">
        <v>37</v>
      </c>
      <c r="I39" s="58" t="s">
        <v>38</v>
      </c>
      <c r="J39" s="59">
        <v>28</v>
      </c>
      <c r="K39" s="53">
        <f t="shared" si="0"/>
        <v>5600</v>
      </c>
      <c r="L39" s="54">
        <f>200+1</f>
        <v>201</v>
      </c>
      <c r="M39" s="81">
        <f t="shared" si="1"/>
        <v>-1</v>
      </c>
      <c r="N39" s="23">
        <f t="shared" si="2"/>
        <v>5600</v>
      </c>
      <c r="O39" s="23">
        <f t="shared" si="3"/>
        <v>5628</v>
      </c>
      <c r="P39" s="80">
        <f t="shared" si="4"/>
        <v>28</v>
      </c>
    </row>
    <row r="40" spans="2:16" x14ac:dyDescent="0.3">
      <c r="B40" s="49">
        <v>33</v>
      </c>
      <c r="C40" s="56" t="s">
        <v>80</v>
      </c>
      <c r="D40" s="21" t="s">
        <v>89</v>
      </c>
      <c r="E40" s="49" t="s">
        <v>25</v>
      </c>
      <c r="F40" s="57">
        <v>43248</v>
      </c>
      <c r="G40" s="57" t="s">
        <v>51</v>
      </c>
      <c r="H40" s="85" t="s">
        <v>90</v>
      </c>
      <c r="I40" s="58" t="s">
        <v>82</v>
      </c>
      <c r="J40" s="59">
        <v>170</v>
      </c>
      <c r="K40" s="53">
        <f t="shared" si="0"/>
        <v>1530</v>
      </c>
      <c r="L40" s="54">
        <v>9</v>
      </c>
      <c r="M40" s="81">
        <f t="shared" si="1"/>
        <v>0</v>
      </c>
      <c r="N40" s="23">
        <f t="shared" si="2"/>
        <v>1530</v>
      </c>
      <c r="O40" s="23">
        <f t="shared" si="3"/>
        <v>1530</v>
      </c>
      <c r="P40" s="80">
        <f t="shared" si="4"/>
        <v>0</v>
      </c>
    </row>
    <row r="41" spans="2:16" x14ac:dyDescent="0.3">
      <c r="B41" s="18">
        <v>34</v>
      </c>
      <c r="C41" s="56">
        <v>12141901</v>
      </c>
      <c r="D41" s="21" t="s">
        <v>91</v>
      </c>
      <c r="E41" s="49" t="s">
        <v>25</v>
      </c>
      <c r="F41" s="57">
        <v>45140</v>
      </c>
      <c r="G41" s="57" t="s">
        <v>26</v>
      </c>
      <c r="H41" s="85" t="s">
        <v>92</v>
      </c>
      <c r="I41" s="58" t="s">
        <v>93</v>
      </c>
      <c r="J41" s="59">
        <v>62</v>
      </c>
      <c r="K41" s="53">
        <f t="shared" si="0"/>
        <v>1550</v>
      </c>
      <c r="L41" s="54">
        <f>1+130+5+8+6+3+11+11</f>
        <v>175</v>
      </c>
      <c r="M41" s="81">
        <f t="shared" si="1"/>
        <v>-150</v>
      </c>
      <c r="N41" s="23">
        <f t="shared" si="2"/>
        <v>1550</v>
      </c>
      <c r="O41" s="23">
        <f t="shared" si="3"/>
        <v>10850</v>
      </c>
      <c r="P41" s="80">
        <f t="shared" si="4"/>
        <v>9300</v>
      </c>
    </row>
    <row r="42" spans="2:16" x14ac:dyDescent="0.3">
      <c r="B42" s="18">
        <v>35</v>
      </c>
      <c r="C42" s="50">
        <v>10</v>
      </c>
      <c r="D42" s="20" t="s">
        <v>94</v>
      </c>
      <c r="E42" s="20"/>
      <c r="F42" s="51">
        <v>45149</v>
      </c>
      <c r="G42" s="61">
        <v>45171</v>
      </c>
      <c r="H42" s="84">
        <v>0</v>
      </c>
      <c r="I42" s="20" t="s">
        <v>28</v>
      </c>
      <c r="J42" s="20">
        <v>121.49</v>
      </c>
      <c r="K42" s="53">
        <f t="shared" si="0"/>
        <v>0</v>
      </c>
      <c r="L42" s="54">
        <v>125</v>
      </c>
      <c r="M42" s="81">
        <f t="shared" si="1"/>
        <v>-125</v>
      </c>
      <c r="N42" s="23">
        <f t="shared" si="2"/>
        <v>0</v>
      </c>
      <c r="O42" s="23">
        <f t="shared" si="3"/>
        <v>15186.25</v>
      </c>
      <c r="P42" s="80">
        <f t="shared" si="4"/>
        <v>15186.25</v>
      </c>
    </row>
    <row r="43" spans="2:16" x14ac:dyDescent="0.3">
      <c r="B43" s="49">
        <v>36</v>
      </c>
      <c r="C43" s="50">
        <v>11</v>
      </c>
      <c r="D43" s="20" t="s">
        <v>95</v>
      </c>
      <c r="E43" s="20"/>
      <c r="F43" s="51">
        <v>45149</v>
      </c>
      <c r="G43" s="61">
        <v>45171</v>
      </c>
      <c r="H43" s="84">
        <v>0</v>
      </c>
      <c r="I43" s="20" t="s">
        <v>28</v>
      </c>
      <c r="J43" s="20">
        <v>77.989999999999995</v>
      </c>
      <c r="K43" s="53">
        <f t="shared" si="0"/>
        <v>0</v>
      </c>
      <c r="L43" s="54">
        <v>120</v>
      </c>
      <c r="M43" s="81">
        <f t="shared" si="1"/>
        <v>-120</v>
      </c>
      <c r="N43" s="23">
        <f t="shared" si="2"/>
        <v>0</v>
      </c>
      <c r="O43" s="23">
        <f t="shared" si="3"/>
        <v>9358.7999999999993</v>
      </c>
      <c r="P43" s="80">
        <f t="shared" si="4"/>
        <v>9358.7999999999993</v>
      </c>
    </row>
    <row r="44" spans="2:16" x14ac:dyDescent="0.3">
      <c r="B44" s="49">
        <v>37</v>
      </c>
      <c r="C44" s="50">
        <v>5020174</v>
      </c>
      <c r="D44" s="21" t="s">
        <v>96</v>
      </c>
      <c r="E44" s="49" t="s">
        <v>25</v>
      </c>
      <c r="F44" s="57" t="s">
        <v>30</v>
      </c>
      <c r="G44" s="57">
        <v>44656</v>
      </c>
      <c r="H44" s="85" t="s">
        <v>97</v>
      </c>
      <c r="I44" s="58" t="s">
        <v>28</v>
      </c>
      <c r="J44" s="59">
        <v>406</v>
      </c>
      <c r="K44" s="53">
        <f t="shared" si="0"/>
        <v>34916</v>
      </c>
      <c r="L44" s="54">
        <f>265+200</f>
        <v>465</v>
      </c>
      <c r="M44" s="81">
        <f t="shared" si="1"/>
        <v>-379</v>
      </c>
      <c r="N44" s="23">
        <f t="shared" si="2"/>
        <v>34916</v>
      </c>
      <c r="O44" s="23">
        <f t="shared" si="3"/>
        <v>188790</v>
      </c>
      <c r="P44" s="80">
        <f t="shared" si="4"/>
        <v>153874</v>
      </c>
    </row>
    <row r="45" spans="2:16" x14ac:dyDescent="0.3">
      <c r="B45" s="18">
        <v>38</v>
      </c>
      <c r="C45" s="56">
        <v>47121806</v>
      </c>
      <c r="D45" s="21" t="s">
        <v>98</v>
      </c>
      <c r="E45" s="49" t="s">
        <v>25</v>
      </c>
      <c r="F45" s="57" t="s">
        <v>99</v>
      </c>
      <c r="G45" s="57" t="s">
        <v>99</v>
      </c>
      <c r="H45" s="85" t="s">
        <v>100</v>
      </c>
      <c r="I45" s="58" t="s">
        <v>28</v>
      </c>
      <c r="J45" s="59">
        <v>368</v>
      </c>
      <c r="K45" s="53">
        <f t="shared" si="0"/>
        <v>2576</v>
      </c>
      <c r="L45" s="54">
        <v>25</v>
      </c>
      <c r="M45" s="81">
        <f t="shared" si="1"/>
        <v>-18</v>
      </c>
      <c r="N45" s="23">
        <f t="shared" si="2"/>
        <v>2576</v>
      </c>
      <c r="O45" s="23">
        <f t="shared" si="3"/>
        <v>9200</v>
      </c>
      <c r="P45" s="80">
        <f t="shared" si="4"/>
        <v>6624</v>
      </c>
    </row>
    <row r="46" spans="2:16" x14ac:dyDescent="0.3">
      <c r="B46" s="18">
        <v>39</v>
      </c>
      <c r="C46" s="56">
        <v>44122005</v>
      </c>
      <c r="D46" s="21" t="s">
        <v>101</v>
      </c>
      <c r="E46" s="49" t="s">
        <v>25</v>
      </c>
      <c r="F46" s="57">
        <v>43914</v>
      </c>
      <c r="G46" s="57" t="s">
        <v>51</v>
      </c>
      <c r="H46" s="85" t="s">
        <v>102</v>
      </c>
      <c r="I46" s="58" t="s">
        <v>33</v>
      </c>
      <c r="J46" s="59">
        <v>300</v>
      </c>
      <c r="K46" s="53">
        <f t="shared" si="0"/>
        <v>13800</v>
      </c>
      <c r="L46" s="54">
        <v>47</v>
      </c>
      <c r="M46" s="81">
        <f t="shared" si="1"/>
        <v>-1</v>
      </c>
      <c r="N46" s="23">
        <f t="shared" si="2"/>
        <v>13800</v>
      </c>
      <c r="O46" s="23">
        <f t="shared" si="3"/>
        <v>14100</v>
      </c>
      <c r="P46" s="80">
        <f t="shared" si="4"/>
        <v>300</v>
      </c>
    </row>
    <row r="47" spans="2:16" x14ac:dyDescent="0.3">
      <c r="B47" s="49">
        <v>40</v>
      </c>
      <c r="C47" s="50">
        <v>12</v>
      </c>
      <c r="D47" s="20" t="s">
        <v>103</v>
      </c>
      <c r="E47" s="20"/>
      <c r="F47" s="51">
        <v>45149</v>
      </c>
      <c r="G47" s="61">
        <v>45171</v>
      </c>
      <c r="H47" s="84">
        <v>0</v>
      </c>
      <c r="I47" s="20" t="s">
        <v>28</v>
      </c>
      <c r="J47" s="76">
        <v>53.99</v>
      </c>
      <c r="K47" s="53">
        <f t="shared" si="0"/>
        <v>0</v>
      </c>
      <c r="L47" s="54">
        <v>72</v>
      </c>
      <c r="M47" s="81">
        <f t="shared" si="1"/>
        <v>-72</v>
      </c>
      <c r="N47" s="23">
        <f t="shared" si="2"/>
        <v>0</v>
      </c>
      <c r="O47" s="23">
        <f t="shared" si="3"/>
        <v>3887.28</v>
      </c>
      <c r="P47" s="80">
        <f t="shared" si="4"/>
        <v>3887.28</v>
      </c>
    </row>
    <row r="48" spans="2:16" x14ac:dyDescent="0.3">
      <c r="B48" s="49">
        <v>41</v>
      </c>
      <c r="C48" s="50">
        <v>13</v>
      </c>
      <c r="D48" s="20" t="s">
        <v>104</v>
      </c>
      <c r="E48" s="20"/>
      <c r="F48" s="51">
        <v>45149</v>
      </c>
      <c r="G48" s="61">
        <v>45171</v>
      </c>
      <c r="H48" s="84">
        <v>0</v>
      </c>
      <c r="I48" s="20" t="s">
        <v>28</v>
      </c>
      <c r="J48" s="76">
        <v>43.49</v>
      </c>
      <c r="K48" s="53">
        <f t="shared" si="0"/>
        <v>0</v>
      </c>
      <c r="L48" s="54">
        <v>102</v>
      </c>
      <c r="M48" s="81">
        <f t="shared" si="1"/>
        <v>-102</v>
      </c>
      <c r="N48" s="23">
        <f t="shared" si="2"/>
        <v>0</v>
      </c>
      <c r="O48" s="23">
        <f t="shared" si="3"/>
        <v>4435.9800000000005</v>
      </c>
      <c r="P48" s="80">
        <f t="shared" si="4"/>
        <v>4435.9800000000005</v>
      </c>
    </row>
    <row r="49" spans="2:16" x14ac:dyDescent="0.3">
      <c r="B49" s="18">
        <v>42</v>
      </c>
      <c r="C49" s="50">
        <v>14</v>
      </c>
      <c r="D49" s="20" t="s">
        <v>105</v>
      </c>
      <c r="E49" s="20"/>
      <c r="F49" s="51">
        <v>45149</v>
      </c>
      <c r="G49" s="61">
        <v>45171</v>
      </c>
      <c r="H49" s="84">
        <v>0</v>
      </c>
      <c r="I49" s="20" t="s">
        <v>28</v>
      </c>
      <c r="J49" s="76">
        <v>67.489999999999995</v>
      </c>
      <c r="K49" s="53">
        <f t="shared" si="0"/>
        <v>0</v>
      </c>
      <c r="L49" s="54">
        <v>58</v>
      </c>
      <c r="M49" s="81">
        <f t="shared" si="1"/>
        <v>-58</v>
      </c>
      <c r="N49" s="23">
        <f t="shared" si="2"/>
        <v>0</v>
      </c>
      <c r="O49" s="23">
        <f t="shared" si="3"/>
        <v>3914.4199999999996</v>
      </c>
      <c r="P49" s="80">
        <f t="shared" si="4"/>
        <v>3914.4199999999996</v>
      </c>
    </row>
    <row r="50" spans="2:16" x14ac:dyDescent="0.3">
      <c r="B50" s="18">
        <v>43</v>
      </c>
      <c r="C50" s="50">
        <v>15</v>
      </c>
      <c r="D50" s="20" t="s">
        <v>106</v>
      </c>
      <c r="E50" s="20"/>
      <c r="F50" s="51">
        <v>45149</v>
      </c>
      <c r="G50" s="61">
        <v>45171</v>
      </c>
      <c r="H50" s="84">
        <v>0</v>
      </c>
      <c r="I50" s="20" t="s">
        <v>28</v>
      </c>
      <c r="J50" s="76">
        <v>207.99</v>
      </c>
      <c r="K50" s="53">
        <f t="shared" si="0"/>
        <v>0</v>
      </c>
      <c r="L50" s="54">
        <v>6</v>
      </c>
      <c r="M50" s="81">
        <f t="shared" si="1"/>
        <v>-6</v>
      </c>
      <c r="N50" s="23">
        <f t="shared" si="2"/>
        <v>0</v>
      </c>
      <c r="O50" s="23">
        <f t="shared" si="3"/>
        <v>1247.94</v>
      </c>
      <c r="P50" s="80">
        <f t="shared" si="4"/>
        <v>1247.94</v>
      </c>
    </row>
    <row r="51" spans="2:16" x14ac:dyDescent="0.3">
      <c r="B51" s="49">
        <v>44</v>
      </c>
      <c r="C51" s="50">
        <v>16</v>
      </c>
      <c r="D51" s="20" t="s">
        <v>107</v>
      </c>
      <c r="E51" s="20"/>
      <c r="F51" s="51">
        <v>45149</v>
      </c>
      <c r="G51" s="61">
        <v>45171</v>
      </c>
      <c r="H51" s="84">
        <v>0</v>
      </c>
      <c r="I51" s="20" t="s">
        <v>23</v>
      </c>
      <c r="J51" s="75">
        <v>283.79000000000002</v>
      </c>
      <c r="K51" s="53">
        <f t="shared" si="0"/>
        <v>0</v>
      </c>
      <c r="L51" s="54">
        <v>34</v>
      </c>
      <c r="M51" s="81">
        <f t="shared" si="1"/>
        <v>-34</v>
      </c>
      <c r="N51" s="23">
        <f t="shared" si="2"/>
        <v>0</v>
      </c>
      <c r="O51" s="23">
        <f t="shared" si="3"/>
        <v>9648.86</v>
      </c>
      <c r="P51" s="80">
        <f t="shared" si="4"/>
        <v>9648.86</v>
      </c>
    </row>
    <row r="52" spans="2:16" x14ac:dyDescent="0.3">
      <c r="B52" s="49">
        <v>45</v>
      </c>
      <c r="C52" s="56">
        <v>47131803</v>
      </c>
      <c r="D52" s="21" t="s">
        <v>108</v>
      </c>
      <c r="E52" s="49" t="s">
        <v>25</v>
      </c>
      <c r="F52" s="57">
        <v>45140</v>
      </c>
      <c r="G52" s="57">
        <v>44642</v>
      </c>
      <c r="H52" s="85" t="s">
        <v>109</v>
      </c>
      <c r="I52" s="58" t="s">
        <v>23</v>
      </c>
      <c r="J52" s="59">
        <f>150</f>
        <v>150</v>
      </c>
      <c r="K52" s="53">
        <f t="shared" si="0"/>
        <v>300</v>
      </c>
      <c r="L52" s="54">
        <f>85+16</f>
        <v>101</v>
      </c>
      <c r="M52" s="81">
        <f t="shared" si="1"/>
        <v>-99</v>
      </c>
      <c r="N52" s="23">
        <f t="shared" si="2"/>
        <v>300</v>
      </c>
      <c r="O52" s="23">
        <f t="shared" si="3"/>
        <v>15150</v>
      </c>
      <c r="P52" s="80">
        <f t="shared" si="4"/>
        <v>14850</v>
      </c>
    </row>
    <row r="53" spans="2:16" x14ac:dyDescent="0.3">
      <c r="B53" s="18">
        <v>46</v>
      </c>
      <c r="C53" s="56">
        <v>47131805</v>
      </c>
      <c r="D53" s="21" t="s">
        <v>110</v>
      </c>
      <c r="E53" s="49" t="s">
        <v>25</v>
      </c>
      <c r="F53" s="57">
        <v>44642</v>
      </c>
      <c r="G53" s="57">
        <v>44642</v>
      </c>
      <c r="H53" s="85" t="s">
        <v>111</v>
      </c>
      <c r="I53" s="58" t="s">
        <v>112</v>
      </c>
      <c r="J53" s="59">
        <v>1010</v>
      </c>
      <c r="K53" s="53">
        <f t="shared" si="0"/>
        <v>4040</v>
      </c>
      <c r="L53" s="54">
        <v>2</v>
      </c>
      <c r="M53" s="81">
        <f t="shared" si="1"/>
        <v>2</v>
      </c>
      <c r="N53" s="23">
        <f t="shared" si="2"/>
        <v>4040</v>
      </c>
      <c r="O53" s="23">
        <f t="shared" si="3"/>
        <v>2020</v>
      </c>
      <c r="P53" s="80">
        <f t="shared" si="4"/>
        <v>-2020</v>
      </c>
    </row>
    <row r="54" spans="2:16" x14ac:dyDescent="0.3">
      <c r="B54" s="18">
        <v>47</v>
      </c>
      <c r="C54" s="56">
        <v>44121605</v>
      </c>
      <c r="D54" s="21" t="s">
        <v>113</v>
      </c>
      <c r="E54" s="49" t="s">
        <v>25</v>
      </c>
      <c r="F54" s="57" t="s">
        <v>51</v>
      </c>
      <c r="G54" s="57" t="s">
        <v>51</v>
      </c>
      <c r="H54" s="85" t="s">
        <v>114</v>
      </c>
      <c r="I54" s="58" t="s">
        <v>28</v>
      </c>
      <c r="J54" s="59">
        <v>225</v>
      </c>
      <c r="K54" s="53">
        <f t="shared" si="0"/>
        <v>8325</v>
      </c>
      <c r="L54" s="54">
        <v>73</v>
      </c>
      <c r="M54" s="81">
        <f t="shared" si="1"/>
        <v>-36</v>
      </c>
      <c r="N54" s="23">
        <f t="shared" si="2"/>
        <v>8325</v>
      </c>
      <c r="O54" s="23">
        <f t="shared" si="3"/>
        <v>16425</v>
      </c>
      <c r="P54" s="80">
        <f t="shared" si="4"/>
        <v>8100</v>
      </c>
    </row>
    <row r="55" spans="2:16" x14ac:dyDescent="0.3">
      <c r="B55" s="49">
        <v>48</v>
      </c>
      <c r="C55" s="56">
        <v>47131604</v>
      </c>
      <c r="D55" s="21" t="s">
        <v>115</v>
      </c>
      <c r="E55" s="49" t="s">
        <v>25</v>
      </c>
      <c r="F55" s="57" t="s">
        <v>116</v>
      </c>
      <c r="G55" s="57" t="s">
        <v>117</v>
      </c>
      <c r="H55" s="85" t="s">
        <v>118</v>
      </c>
      <c r="I55" s="58" t="s">
        <v>28</v>
      </c>
      <c r="J55" s="59">
        <v>95</v>
      </c>
      <c r="K55" s="53">
        <f t="shared" si="0"/>
        <v>8265</v>
      </c>
      <c r="L55" s="54">
        <f>16+10+36+6</f>
        <v>68</v>
      </c>
      <c r="M55" s="81">
        <f t="shared" si="1"/>
        <v>19</v>
      </c>
      <c r="N55" s="23">
        <f t="shared" si="2"/>
        <v>8265</v>
      </c>
      <c r="O55" s="23">
        <f t="shared" si="3"/>
        <v>6460</v>
      </c>
      <c r="P55" s="80">
        <f t="shared" si="4"/>
        <v>-1805</v>
      </c>
    </row>
    <row r="56" spans="2:16" x14ac:dyDescent="0.3">
      <c r="B56" s="49">
        <v>49</v>
      </c>
      <c r="C56" s="56">
        <v>47131604</v>
      </c>
      <c r="D56" s="21" t="s">
        <v>119</v>
      </c>
      <c r="E56" s="49" t="s">
        <v>25</v>
      </c>
      <c r="F56" s="57">
        <v>45140</v>
      </c>
      <c r="G56" s="57" t="s">
        <v>116</v>
      </c>
      <c r="H56" s="85" t="s">
        <v>120</v>
      </c>
      <c r="I56" s="58" t="s">
        <v>28</v>
      </c>
      <c r="J56" s="59">
        <v>115</v>
      </c>
      <c r="K56" s="53">
        <f t="shared" si="0"/>
        <v>1150</v>
      </c>
      <c r="L56" s="54">
        <v>0</v>
      </c>
      <c r="M56" s="81">
        <f t="shared" si="1"/>
        <v>10</v>
      </c>
      <c r="N56" s="23">
        <f t="shared" si="2"/>
        <v>1150</v>
      </c>
      <c r="O56" s="23">
        <f t="shared" si="3"/>
        <v>0</v>
      </c>
      <c r="P56" s="80">
        <f t="shared" si="4"/>
        <v>-1150</v>
      </c>
    </row>
    <row r="57" spans="2:16" x14ac:dyDescent="0.3">
      <c r="B57" s="18">
        <v>50</v>
      </c>
      <c r="C57" s="50">
        <v>17</v>
      </c>
      <c r="D57" s="20" t="s">
        <v>121</v>
      </c>
      <c r="E57" s="20"/>
      <c r="F57" s="51">
        <v>45149</v>
      </c>
      <c r="G57" s="52"/>
      <c r="H57" s="84">
        <v>0</v>
      </c>
      <c r="I57" s="20" t="s">
        <v>28</v>
      </c>
      <c r="J57" s="75">
        <v>964.82</v>
      </c>
      <c r="K57" s="53">
        <f t="shared" si="0"/>
        <v>0</v>
      </c>
      <c r="L57" s="54">
        <v>28</v>
      </c>
      <c r="M57" s="81">
        <f t="shared" si="1"/>
        <v>-28</v>
      </c>
      <c r="N57" s="23">
        <f t="shared" si="2"/>
        <v>0</v>
      </c>
      <c r="O57" s="23">
        <f t="shared" si="3"/>
        <v>27014.960000000003</v>
      </c>
      <c r="P57" s="80">
        <f t="shared" si="4"/>
        <v>27014.960000000003</v>
      </c>
    </row>
    <row r="58" spans="2:16" x14ac:dyDescent="0.3">
      <c r="B58" s="18">
        <v>51</v>
      </c>
      <c r="C58" s="50">
        <v>18</v>
      </c>
      <c r="D58" s="20" t="s">
        <v>122</v>
      </c>
      <c r="E58" s="20"/>
      <c r="F58" s="51">
        <v>45149</v>
      </c>
      <c r="G58" s="52"/>
      <c r="H58" s="84">
        <v>0</v>
      </c>
      <c r="I58" s="20" t="s">
        <v>28</v>
      </c>
      <c r="J58" s="53">
        <v>16.87</v>
      </c>
      <c r="K58" s="53">
        <f t="shared" si="0"/>
        <v>0</v>
      </c>
      <c r="L58" s="54">
        <f>380+52</f>
        <v>432</v>
      </c>
      <c r="M58" s="81">
        <f t="shared" si="1"/>
        <v>-432</v>
      </c>
      <c r="N58" s="23">
        <f t="shared" si="2"/>
        <v>0</v>
      </c>
      <c r="O58" s="23">
        <f t="shared" si="3"/>
        <v>7287.84</v>
      </c>
      <c r="P58" s="80">
        <f t="shared" si="4"/>
        <v>7287.84</v>
      </c>
    </row>
    <row r="59" spans="2:16" x14ac:dyDescent="0.3">
      <c r="B59" s="49">
        <v>52</v>
      </c>
      <c r="C59" s="56" t="s">
        <v>123</v>
      </c>
      <c r="D59" s="21" t="s">
        <v>124</v>
      </c>
      <c r="E59" s="49" t="s">
        <v>25</v>
      </c>
      <c r="F59" s="57" t="s">
        <v>36</v>
      </c>
      <c r="G59" s="57" t="s">
        <v>36</v>
      </c>
      <c r="H59" s="85" t="s">
        <v>125</v>
      </c>
      <c r="I59" s="58" t="s">
        <v>38</v>
      </c>
      <c r="J59" s="59">
        <v>366</v>
      </c>
      <c r="K59" s="53">
        <f t="shared" si="0"/>
        <v>17202</v>
      </c>
      <c r="L59" s="54">
        <v>46</v>
      </c>
      <c r="M59" s="81">
        <f t="shared" si="1"/>
        <v>1</v>
      </c>
      <c r="N59" s="23">
        <f t="shared" si="2"/>
        <v>17202</v>
      </c>
      <c r="O59" s="23">
        <f t="shared" si="3"/>
        <v>16836</v>
      </c>
      <c r="P59" s="80">
        <f t="shared" si="4"/>
        <v>-366</v>
      </c>
    </row>
    <row r="60" spans="2:16" x14ac:dyDescent="0.3">
      <c r="B60" s="49">
        <v>53</v>
      </c>
      <c r="C60" s="56" t="s">
        <v>123</v>
      </c>
      <c r="D60" s="21" t="s">
        <v>126</v>
      </c>
      <c r="E60" s="49" t="s">
        <v>25</v>
      </c>
      <c r="F60" s="57">
        <v>43132</v>
      </c>
      <c r="G60" s="57" t="s">
        <v>51</v>
      </c>
      <c r="H60" s="85" t="s">
        <v>109</v>
      </c>
      <c r="I60" s="58" t="s">
        <v>33</v>
      </c>
      <c r="J60" s="59">
        <v>225</v>
      </c>
      <c r="K60" s="53">
        <f t="shared" si="0"/>
        <v>450</v>
      </c>
      <c r="L60" s="54">
        <v>3</v>
      </c>
      <c r="M60" s="81">
        <f t="shared" si="1"/>
        <v>-1</v>
      </c>
      <c r="N60" s="23">
        <f t="shared" si="2"/>
        <v>450</v>
      </c>
      <c r="O60" s="23">
        <f t="shared" si="3"/>
        <v>675</v>
      </c>
      <c r="P60" s="80">
        <f t="shared" si="4"/>
        <v>225</v>
      </c>
    </row>
    <row r="61" spans="2:16" x14ac:dyDescent="0.3">
      <c r="B61" s="18">
        <v>54</v>
      </c>
      <c r="C61" s="56">
        <v>44122011</v>
      </c>
      <c r="D61" s="21" t="s">
        <v>127</v>
      </c>
      <c r="E61" s="49" t="s">
        <v>25</v>
      </c>
      <c r="F61" s="57" t="s">
        <v>36</v>
      </c>
      <c r="G61" s="57" t="s">
        <v>36</v>
      </c>
      <c r="H61" s="85" t="s">
        <v>128</v>
      </c>
      <c r="I61" s="58" t="s">
        <v>28</v>
      </c>
      <c r="J61" s="59">
        <v>117</v>
      </c>
      <c r="K61" s="53">
        <f t="shared" si="0"/>
        <v>111150</v>
      </c>
      <c r="L61" s="54">
        <v>949</v>
      </c>
      <c r="M61" s="81">
        <f t="shared" si="1"/>
        <v>1</v>
      </c>
      <c r="N61" s="23">
        <f t="shared" si="2"/>
        <v>111150</v>
      </c>
      <c r="O61" s="23">
        <f t="shared" si="3"/>
        <v>111033</v>
      </c>
      <c r="P61" s="80">
        <f t="shared" si="4"/>
        <v>-117</v>
      </c>
    </row>
    <row r="62" spans="2:16" x14ac:dyDescent="0.3">
      <c r="B62" s="18">
        <v>55</v>
      </c>
      <c r="C62" s="63">
        <v>47121708</v>
      </c>
      <c r="D62" s="21" t="s">
        <v>129</v>
      </c>
      <c r="E62" s="49" t="s">
        <v>25</v>
      </c>
      <c r="F62" s="57" t="s">
        <v>26</v>
      </c>
      <c r="G62" s="57" t="s">
        <v>26</v>
      </c>
      <c r="H62" s="85" t="s">
        <v>92</v>
      </c>
      <c r="I62" s="58" t="s">
        <v>130</v>
      </c>
      <c r="J62" s="59">
        <v>265</v>
      </c>
      <c r="K62" s="53">
        <f t="shared" si="0"/>
        <v>6625</v>
      </c>
      <c r="L62" s="54">
        <f>5+63</f>
        <v>68</v>
      </c>
      <c r="M62" s="81">
        <f t="shared" si="1"/>
        <v>-43</v>
      </c>
      <c r="N62" s="23">
        <f t="shared" si="2"/>
        <v>6625</v>
      </c>
      <c r="O62" s="23">
        <f t="shared" si="3"/>
        <v>18020</v>
      </c>
      <c r="P62" s="80">
        <f t="shared" si="4"/>
        <v>11395</v>
      </c>
    </row>
    <row r="63" spans="2:16" x14ac:dyDescent="0.3">
      <c r="B63" s="49">
        <v>56</v>
      </c>
      <c r="C63" s="63">
        <v>47121701</v>
      </c>
      <c r="D63" s="21" t="s">
        <v>131</v>
      </c>
      <c r="E63" s="49" t="s">
        <v>25</v>
      </c>
      <c r="F63" s="57">
        <v>44642</v>
      </c>
      <c r="G63" s="57">
        <v>44642</v>
      </c>
      <c r="H63" s="85" t="s">
        <v>132</v>
      </c>
      <c r="I63" s="58" t="s">
        <v>130</v>
      </c>
      <c r="J63" s="59">
        <v>3.89</v>
      </c>
      <c r="K63" s="53">
        <f t="shared" si="0"/>
        <v>9725</v>
      </c>
      <c r="L63" s="54">
        <f>5+112</f>
        <v>117</v>
      </c>
      <c r="M63" s="81">
        <f t="shared" si="1"/>
        <v>2383</v>
      </c>
      <c r="N63" s="23">
        <f t="shared" si="2"/>
        <v>9725</v>
      </c>
      <c r="O63" s="23">
        <f t="shared" si="3"/>
        <v>455.13</v>
      </c>
      <c r="P63" s="80">
        <f t="shared" si="4"/>
        <v>-9269.8700000000008</v>
      </c>
    </row>
    <row r="64" spans="2:16" x14ac:dyDescent="0.3">
      <c r="B64" s="49">
        <v>57</v>
      </c>
      <c r="C64" s="50">
        <v>19</v>
      </c>
      <c r="D64" s="20" t="s">
        <v>133</v>
      </c>
      <c r="E64" s="20"/>
      <c r="F64" s="51">
        <v>45149</v>
      </c>
      <c r="G64" s="52"/>
      <c r="H64" s="84">
        <v>0</v>
      </c>
      <c r="I64" s="20" t="s">
        <v>23</v>
      </c>
      <c r="J64" s="75">
        <v>501</v>
      </c>
      <c r="K64" s="53">
        <f t="shared" si="0"/>
        <v>0</v>
      </c>
      <c r="L64" s="54">
        <v>59</v>
      </c>
      <c r="M64" s="81">
        <f t="shared" si="1"/>
        <v>-59</v>
      </c>
      <c r="N64" s="23">
        <f t="shared" si="2"/>
        <v>0</v>
      </c>
      <c r="O64" s="23">
        <f t="shared" si="3"/>
        <v>29559</v>
      </c>
      <c r="P64" s="80">
        <f t="shared" si="4"/>
        <v>29559</v>
      </c>
    </row>
    <row r="65" spans="2:16" x14ac:dyDescent="0.3">
      <c r="B65" s="18">
        <v>58</v>
      </c>
      <c r="C65" s="50">
        <v>20</v>
      </c>
      <c r="D65" s="20" t="s">
        <v>134</v>
      </c>
      <c r="E65" s="20"/>
      <c r="F65" s="51">
        <v>45149</v>
      </c>
      <c r="G65" s="52"/>
      <c r="H65" s="84">
        <v>0</v>
      </c>
      <c r="I65" s="20" t="s">
        <v>28</v>
      </c>
      <c r="J65" s="75">
        <v>7876.74</v>
      </c>
      <c r="K65" s="53">
        <f t="shared" si="0"/>
        <v>0</v>
      </c>
      <c r="L65" s="54">
        <v>5</v>
      </c>
      <c r="M65" s="81">
        <f t="shared" si="1"/>
        <v>-5</v>
      </c>
      <c r="N65" s="23">
        <f t="shared" si="2"/>
        <v>0</v>
      </c>
      <c r="O65" s="23">
        <f t="shared" si="3"/>
        <v>39383.699999999997</v>
      </c>
      <c r="P65" s="80">
        <f t="shared" si="4"/>
        <v>39383.699999999997</v>
      </c>
    </row>
    <row r="66" spans="2:16" x14ac:dyDescent="0.3">
      <c r="B66" s="18">
        <v>59</v>
      </c>
      <c r="C66" s="50">
        <v>21</v>
      </c>
      <c r="D66" s="20" t="s">
        <v>135</v>
      </c>
      <c r="E66" s="20"/>
      <c r="F66" s="51">
        <v>45149</v>
      </c>
      <c r="G66" s="52"/>
      <c r="H66" s="84">
        <v>0</v>
      </c>
      <c r="I66" s="20" t="s">
        <v>28</v>
      </c>
      <c r="J66" s="75">
        <v>9125</v>
      </c>
      <c r="K66" s="53">
        <f t="shared" si="0"/>
        <v>0</v>
      </c>
      <c r="L66" s="54">
        <v>9</v>
      </c>
      <c r="M66" s="81">
        <f t="shared" si="1"/>
        <v>-9</v>
      </c>
      <c r="N66" s="23">
        <f t="shared" si="2"/>
        <v>0</v>
      </c>
      <c r="O66" s="23">
        <f t="shared" si="3"/>
        <v>82125</v>
      </c>
      <c r="P66" s="80">
        <f t="shared" si="4"/>
        <v>82125</v>
      </c>
    </row>
    <row r="67" spans="2:16" x14ac:dyDescent="0.3">
      <c r="B67" s="49">
        <v>60</v>
      </c>
      <c r="C67" s="50">
        <v>22</v>
      </c>
      <c r="D67" s="20" t="s">
        <v>136</v>
      </c>
      <c r="E67" s="20"/>
      <c r="F67" s="51">
        <v>45149</v>
      </c>
      <c r="G67" s="64"/>
      <c r="H67" s="84">
        <v>0</v>
      </c>
      <c r="I67" s="20" t="s">
        <v>28</v>
      </c>
      <c r="J67" s="75">
        <v>6100</v>
      </c>
      <c r="K67" s="53">
        <f t="shared" si="0"/>
        <v>0</v>
      </c>
      <c r="L67" s="54">
        <v>3</v>
      </c>
      <c r="M67" s="81">
        <f t="shared" si="1"/>
        <v>-3</v>
      </c>
      <c r="N67" s="23">
        <f t="shared" si="2"/>
        <v>0</v>
      </c>
      <c r="O67" s="23">
        <f t="shared" si="3"/>
        <v>18300</v>
      </c>
      <c r="P67" s="80">
        <f t="shared" si="4"/>
        <v>18300</v>
      </c>
    </row>
    <row r="68" spans="2:16" x14ac:dyDescent="0.3">
      <c r="B68" s="49">
        <v>61</v>
      </c>
      <c r="C68" s="50">
        <v>23</v>
      </c>
      <c r="D68" s="20" t="s">
        <v>137</v>
      </c>
      <c r="E68" s="20"/>
      <c r="F68" s="51">
        <v>45149</v>
      </c>
      <c r="G68" s="52"/>
      <c r="H68" s="84">
        <v>0</v>
      </c>
      <c r="I68" s="20" t="s">
        <v>28</v>
      </c>
      <c r="J68" s="75">
        <v>5450</v>
      </c>
      <c r="K68" s="53">
        <f t="shared" si="0"/>
        <v>0</v>
      </c>
      <c r="L68" s="54">
        <v>10</v>
      </c>
      <c r="M68" s="81">
        <f t="shared" si="1"/>
        <v>-10</v>
      </c>
      <c r="N68" s="23">
        <f t="shared" si="2"/>
        <v>0</v>
      </c>
      <c r="O68" s="23">
        <f t="shared" si="3"/>
        <v>54500</v>
      </c>
      <c r="P68" s="80">
        <f t="shared" si="4"/>
        <v>54500</v>
      </c>
    </row>
    <row r="69" spans="2:16" x14ac:dyDescent="0.3">
      <c r="B69" s="18">
        <v>62</v>
      </c>
      <c r="C69" s="56" t="s">
        <v>138</v>
      </c>
      <c r="D69" s="21" t="s">
        <v>139</v>
      </c>
      <c r="E69" s="49" t="s">
        <v>25</v>
      </c>
      <c r="F69" s="57" t="s">
        <v>36</v>
      </c>
      <c r="G69" s="57" t="s">
        <v>36</v>
      </c>
      <c r="H69" s="85" t="s">
        <v>140</v>
      </c>
      <c r="I69" s="58" t="s">
        <v>28</v>
      </c>
      <c r="J69" s="59">
        <v>34</v>
      </c>
      <c r="K69" s="53">
        <f t="shared" si="0"/>
        <v>3910</v>
      </c>
      <c r="L69" s="54">
        <v>131</v>
      </c>
      <c r="M69" s="81">
        <f t="shared" si="1"/>
        <v>-16</v>
      </c>
      <c r="N69" s="23">
        <f t="shared" si="2"/>
        <v>3910</v>
      </c>
      <c r="O69" s="23">
        <f t="shared" si="3"/>
        <v>4454</v>
      </c>
      <c r="P69" s="80">
        <f t="shared" si="4"/>
        <v>544</v>
      </c>
    </row>
    <row r="70" spans="2:16" x14ac:dyDescent="0.3">
      <c r="B70" s="18">
        <v>63</v>
      </c>
      <c r="C70" s="50">
        <v>24</v>
      </c>
      <c r="D70" s="20" t="s">
        <v>141</v>
      </c>
      <c r="E70" s="20"/>
      <c r="F70" s="51">
        <v>45149</v>
      </c>
      <c r="G70" s="52"/>
      <c r="H70" s="84">
        <v>0</v>
      </c>
      <c r="I70" s="20" t="s">
        <v>38</v>
      </c>
      <c r="J70" s="75">
        <v>84</v>
      </c>
      <c r="K70" s="53">
        <f t="shared" si="0"/>
        <v>0</v>
      </c>
      <c r="L70" s="54">
        <v>6</v>
      </c>
      <c r="M70" s="81">
        <f t="shared" si="1"/>
        <v>-6</v>
      </c>
      <c r="N70" s="23">
        <f t="shared" si="2"/>
        <v>0</v>
      </c>
      <c r="O70" s="23">
        <f t="shared" si="3"/>
        <v>504</v>
      </c>
      <c r="P70" s="80">
        <f t="shared" si="4"/>
        <v>504</v>
      </c>
    </row>
    <row r="71" spans="2:16" x14ac:dyDescent="0.3">
      <c r="B71" s="49">
        <v>64</v>
      </c>
      <c r="C71" s="56">
        <v>44121615</v>
      </c>
      <c r="D71" s="21" t="s">
        <v>142</v>
      </c>
      <c r="E71" s="49" t="s">
        <v>25</v>
      </c>
      <c r="F71" s="57" t="s">
        <v>36</v>
      </c>
      <c r="G71" s="57" t="s">
        <v>36</v>
      </c>
      <c r="H71" s="85" t="s">
        <v>143</v>
      </c>
      <c r="I71" s="58" t="s">
        <v>28</v>
      </c>
      <c r="J71" s="59">
        <v>168</v>
      </c>
      <c r="K71" s="53">
        <f t="shared" si="0"/>
        <v>20160</v>
      </c>
      <c r="L71" s="54">
        <v>101</v>
      </c>
      <c r="M71" s="81">
        <f t="shared" si="1"/>
        <v>19</v>
      </c>
      <c r="N71" s="23">
        <f t="shared" si="2"/>
        <v>20160</v>
      </c>
      <c r="O71" s="23">
        <f t="shared" si="3"/>
        <v>16968</v>
      </c>
      <c r="P71" s="80">
        <f t="shared" si="4"/>
        <v>-3192</v>
      </c>
    </row>
    <row r="72" spans="2:16" x14ac:dyDescent="0.3">
      <c r="B72" s="49">
        <v>65</v>
      </c>
      <c r="C72" s="50">
        <v>25</v>
      </c>
      <c r="D72" s="20" t="s">
        <v>144</v>
      </c>
      <c r="E72" s="20"/>
      <c r="F72" s="51">
        <v>45149</v>
      </c>
      <c r="G72" s="52"/>
      <c r="H72" s="84">
        <v>0</v>
      </c>
      <c r="I72" s="58" t="s">
        <v>28</v>
      </c>
      <c r="J72" s="75">
        <v>115.07</v>
      </c>
      <c r="K72" s="53">
        <f t="shared" ref="K72:K134" si="5">+H72*J72</f>
        <v>0</v>
      </c>
      <c r="L72" s="54">
        <v>99</v>
      </c>
      <c r="M72" s="81">
        <f t="shared" si="1"/>
        <v>-99</v>
      </c>
      <c r="N72" s="23">
        <f t="shared" ref="N72:N134" si="6">+H72*J72</f>
        <v>0</v>
      </c>
      <c r="O72" s="23">
        <f t="shared" ref="O72:O134" si="7">+L72*J72</f>
        <v>11391.929999999998</v>
      </c>
      <c r="P72" s="80">
        <f t="shared" ref="P72:P134" si="8">+O72-N72</f>
        <v>11391.929999999998</v>
      </c>
    </row>
    <row r="73" spans="2:16" x14ac:dyDescent="0.3">
      <c r="B73" s="18">
        <v>66</v>
      </c>
      <c r="C73" s="56">
        <v>47131810</v>
      </c>
      <c r="D73" s="21" t="s">
        <v>145</v>
      </c>
      <c r="E73" s="49" t="s">
        <v>25</v>
      </c>
      <c r="F73" s="57">
        <v>45140</v>
      </c>
      <c r="G73" s="57" t="s">
        <v>26</v>
      </c>
      <c r="H73" s="85" t="s">
        <v>78</v>
      </c>
      <c r="I73" s="58" t="s">
        <v>93</v>
      </c>
      <c r="J73" s="59">
        <v>107</v>
      </c>
      <c r="K73" s="53">
        <f t="shared" si="5"/>
        <v>2140</v>
      </c>
      <c r="L73" s="54">
        <f>7+55+33+126+2+13</f>
        <v>236</v>
      </c>
      <c r="M73" s="81">
        <f t="shared" ref="M73:M135" si="9">+H73-L73</f>
        <v>-216</v>
      </c>
      <c r="N73" s="23">
        <f t="shared" si="6"/>
        <v>2140</v>
      </c>
      <c r="O73" s="23">
        <f t="shared" si="7"/>
        <v>25252</v>
      </c>
      <c r="P73" s="80">
        <f t="shared" si="8"/>
        <v>23112</v>
      </c>
    </row>
    <row r="74" spans="2:16" x14ac:dyDescent="0.3">
      <c r="B74" s="18">
        <v>67</v>
      </c>
      <c r="C74" s="56">
        <v>47131810</v>
      </c>
      <c r="D74" s="21" t="s">
        <v>146</v>
      </c>
      <c r="E74" s="49" t="s">
        <v>25</v>
      </c>
      <c r="F74" s="57">
        <v>45140</v>
      </c>
      <c r="G74" s="57">
        <v>44643</v>
      </c>
      <c r="H74" s="85" t="s">
        <v>78</v>
      </c>
      <c r="I74" s="58" t="s">
        <v>93</v>
      </c>
      <c r="J74" s="59">
        <v>140</v>
      </c>
      <c r="K74" s="53">
        <f t="shared" si="5"/>
        <v>2800</v>
      </c>
      <c r="L74" s="54">
        <f>4+36+121+38</f>
        <v>199</v>
      </c>
      <c r="M74" s="81">
        <f t="shared" si="9"/>
        <v>-179</v>
      </c>
      <c r="N74" s="23">
        <f t="shared" si="6"/>
        <v>2800</v>
      </c>
      <c r="O74" s="23">
        <f t="shared" si="7"/>
        <v>27860</v>
      </c>
      <c r="P74" s="80">
        <f t="shared" si="8"/>
        <v>25060</v>
      </c>
    </row>
    <row r="75" spans="2:16" x14ac:dyDescent="0.3">
      <c r="B75" s="49">
        <v>68</v>
      </c>
      <c r="C75" s="50">
        <v>26</v>
      </c>
      <c r="D75" s="20" t="s">
        <v>147</v>
      </c>
      <c r="E75" s="20"/>
      <c r="F75" s="51">
        <v>45149</v>
      </c>
      <c r="G75" s="61">
        <v>45171</v>
      </c>
      <c r="H75" s="84">
        <v>0</v>
      </c>
      <c r="I75" s="20" t="s">
        <v>28</v>
      </c>
      <c r="J75" s="76">
        <v>519.99</v>
      </c>
      <c r="K75" s="53">
        <f t="shared" si="5"/>
        <v>0</v>
      </c>
      <c r="L75" s="54">
        <v>7</v>
      </c>
      <c r="M75" s="81">
        <f t="shared" si="9"/>
        <v>-7</v>
      </c>
      <c r="N75" s="23">
        <f t="shared" si="6"/>
        <v>0</v>
      </c>
      <c r="O75" s="23">
        <f t="shared" si="7"/>
        <v>3639.9300000000003</v>
      </c>
      <c r="P75" s="80">
        <f t="shared" si="8"/>
        <v>3639.9300000000003</v>
      </c>
    </row>
    <row r="76" spans="2:16" x14ac:dyDescent="0.3">
      <c r="B76" s="49">
        <v>69</v>
      </c>
      <c r="C76" s="56" t="s">
        <v>148</v>
      </c>
      <c r="D76" s="21" t="s">
        <v>149</v>
      </c>
      <c r="E76" s="49" t="s">
        <v>25</v>
      </c>
      <c r="F76" s="57">
        <v>43914</v>
      </c>
      <c r="G76" s="57">
        <v>43914</v>
      </c>
      <c r="H76" s="85" t="s">
        <v>150</v>
      </c>
      <c r="I76" s="58" t="s">
        <v>33</v>
      </c>
      <c r="J76" s="59">
        <v>460</v>
      </c>
      <c r="K76" s="53">
        <f t="shared" si="5"/>
        <v>30360</v>
      </c>
      <c r="L76" s="54">
        <v>67</v>
      </c>
      <c r="M76" s="81">
        <f t="shared" si="9"/>
        <v>-1</v>
      </c>
      <c r="N76" s="23">
        <f t="shared" si="6"/>
        <v>30360</v>
      </c>
      <c r="O76" s="23">
        <f t="shared" si="7"/>
        <v>30820</v>
      </c>
      <c r="P76" s="80">
        <f t="shared" si="8"/>
        <v>460</v>
      </c>
    </row>
    <row r="77" spans="2:16" x14ac:dyDescent="0.3">
      <c r="B77" s="18">
        <v>70</v>
      </c>
      <c r="C77" s="63">
        <v>44121706</v>
      </c>
      <c r="D77" s="21" t="s">
        <v>151</v>
      </c>
      <c r="E77" s="49" t="s">
        <v>25</v>
      </c>
      <c r="F77" s="57" t="s">
        <v>36</v>
      </c>
      <c r="G77" s="57" t="s">
        <v>36</v>
      </c>
      <c r="H77" s="85" t="s">
        <v>152</v>
      </c>
      <c r="I77" s="58" t="s">
        <v>43</v>
      </c>
      <c r="J77" s="59">
        <v>50</v>
      </c>
      <c r="K77" s="53">
        <f t="shared" si="5"/>
        <v>1400</v>
      </c>
      <c r="L77" s="54">
        <v>30</v>
      </c>
      <c r="M77" s="81">
        <f t="shared" si="9"/>
        <v>-2</v>
      </c>
      <c r="N77" s="23">
        <f t="shared" si="6"/>
        <v>1400</v>
      </c>
      <c r="O77" s="23">
        <f t="shared" si="7"/>
        <v>1500</v>
      </c>
      <c r="P77" s="80">
        <f t="shared" si="8"/>
        <v>100</v>
      </c>
    </row>
    <row r="78" spans="2:16" x14ac:dyDescent="0.3">
      <c r="B78" s="18">
        <v>71</v>
      </c>
      <c r="C78" s="50">
        <v>27</v>
      </c>
      <c r="D78" s="20" t="s">
        <v>153</v>
      </c>
      <c r="E78" s="20"/>
      <c r="F78" s="51">
        <v>45149</v>
      </c>
      <c r="G78" s="52"/>
      <c r="H78" s="84">
        <v>0</v>
      </c>
      <c r="I78" s="20" t="s">
        <v>28</v>
      </c>
      <c r="J78" s="75">
        <v>60.18</v>
      </c>
      <c r="K78" s="53">
        <f t="shared" si="5"/>
        <v>0</v>
      </c>
      <c r="L78" s="54">
        <v>15</v>
      </c>
      <c r="M78" s="81">
        <f t="shared" si="9"/>
        <v>-15</v>
      </c>
      <c r="N78" s="23">
        <f t="shared" si="6"/>
        <v>0</v>
      </c>
      <c r="O78" s="23">
        <f t="shared" si="7"/>
        <v>902.7</v>
      </c>
      <c r="P78" s="80">
        <f t="shared" si="8"/>
        <v>902.7</v>
      </c>
    </row>
    <row r="79" spans="2:16" x14ac:dyDescent="0.3">
      <c r="B79" s="49">
        <v>72</v>
      </c>
      <c r="C79" s="50">
        <v>28</v>
      </c>
      <c r="D79" s="20" t="s">
        <v>154</v>
      </c>
      <c r="E79" s="20"/>
      <c r="F79" s="51">
        <v>45149</v>
      </c>
      <c r="G79" s="52"/>
      <c r="H79" s="84">
        <v>0</v>
      </c>
      <c r="I79" s="20" t="s">
        <v>28</v>
      </c>
      <c r="J79" s="75">
        <v>48.38</v>
      </c>
      <c r="K79" s="53">
        <f t="shared" si="5"/>
        <v>0</v>
      </c>
      <c r="L79" s="54">
        <f>190+103+79</f>
        <v>372</v>
      </c>
      <c r="M79" s="81">
        <f t="shared" si="9"/>
        <v>-372</v>
      </c>
      <c r="N79" s="23">
        <f t="shared" si="6"/>
        <v>0</v>
      </c>
      <c r="O79" s="23">
        <f t="shared" si="7"/>
        <v>17997.36</v>
      </c>
      <c r="P79" s="80">
        <f t="shared" si="8"/>
        <v>17997.36</v>
      </c>
    </row>
    <row r="80" spans="2:16" x14ac:dyDescent="0.3">
      <c r="B80" s="49">
        <v>73</v>
      </c>
      <c r="C80" s="56">
        <v>12161801</v>
      </c>
      <c r="D80" s="21" t="s">
        <v>155</v>
      </c>
      <c r="E80" s="49" t="s">
        <v>25</v>
      </c>
      <c r="F80" s="57" t="s">
        <v>36</v>
      </c>
      <c r="G80" s="57" t="s">
        <v>36</v>
      </c>
      <c r="H80" s="85" t="s">
        <v>156</v>
      </c>
      <c r="I80" s="58" t="s">
        <v>28</v>
      </c>
      <c r="J80" s="59">
        <v>120</v>
      </c>
      <c r="K80" s="53">
        <f t="shared" si="5"/>
        <v>10080</v>
      </c>
      <c r="L80" s="54">
        <v>84</v>
      </c>
      <c r="M80" s="81">
        <f t="shared" si="9"/>
        <v>0</v>
      </c>
      <c r="N80" s="23">
        <f t="shared" si="6"/>
        <v>10080</v>
      </c>
      <c r="O80" s="23">
        <f t="shared" si="7"/>
        <v>10080</v>
      </c>
      <c r="P80" s="80">
        <f t="shared" si="8"/>
        <v>0</v>
      </c>
    </row>
    <row r="81" spans="2:16" x14ac:dyDescent="0.3">
      <c r="B81" s="18">
        <v>74</v>
      </c>
      <c r="C81" s="56">
        <v>47131514</v>
      </c>
      <c r="D81" s="21" t="s">
        <v>157</v>
      </c>
      <c r="E81" s="49" t="s">
        <v>25</v>
      </c>
      <c r="F81" s="57">
        <v>44103</v>
      </c>
      <c r="G81" s="57">
        <v>44103</v>
      </c>
      <c r="H81" s="85" t="s">
        <v>120</v>
      </c>
      <c r="I81" s="58" t="s">
        <v>28</v>
      </c>
      <c r="J81" s="59">
        <v>285</v>
      </c>
      <c r="K81" s="53">
        <f t="shared" si="5"/>
        <v>2850</v>
      </c>
      <c r="L81" s="54">
        <v>0</v>
      </c>
      <c r="M81" s="81">
        <f t="shared" si="9"/>
        <v>10</v>
      </c>
      <c r="N81" s="23">
        <f t="shared" si="6"/>
        <v>2850</v>
      </c>
      <c r="O81" s="23">
        <f t="shared" si="7"/>
        <v>0</v>
      </c>
      <c r="P81" s="80">
        <f t="shared" si="8"/>
        <v>-2850</v>
      </c>
    </row>
    <row r="82" spans="2:16" x14ac:dyDescent="0.3">
      <c r="B82" s="18">
        <v>75</v>
      </c>
      <c r="C82" s="50">
        <v>29</v>
      </c>
      <c r="D82" s="20" t="s">
        <v>158</v>
      </c>
      <c r="E82" s="20"/>
      <c r="F82" s="51">
        <v>45149</v>
      </c>
      <c r="G82" s="52"/>
      <c r="H82" s="84">
        <v>0</v>
      </c>
      <c r="I82" s="20" t="s">
        <v>28</v>
      </c>
      <c r="J82" s="65"/>
      <c r="K82" s="53">
        <f t="shared" si="5"/>
        <v>0</v>
      </c>
      <c r="L82" s="54">
        <v>11</v>
      </c>
      <c r="M82" s="81">
        <f t="shared" si="9"/>
        <v>-11</v>
      </c>
      <c r="N82" s="23">
        <f t="shared" si="6"/>
        <v>0</v>
      </c>
      <c r="O82" s="23">
        <f t="shared" si="7"/>
        <v>0</v>
      </c>
      <c r="P82" s="80">
        <f t="shared" si="8"/>
        <v>0</v>
      </c>
    </row>
    <row r="83" spans="2:16" x14ac:dyDescent="0.3">
      <c r="B83" s="49">
        <v>76</v>
      </c>
      <c r="C83" s="50">
        <v>30</v>
      </c>
      <c r="D83" s="20" t="s">
        <v>159</v>
      </c>
      <c r="E83" s="20"/>
      <c r="F83" s="51">
        <v>45149</v>
      </c>
      <c r="G83" s="52"/>
      <c r="H83" s="84">
        <v>0</v>
      </c>
      <c r="I83" s="20" t="s">
        <v>28</v>
      </c>
      <c r="J83" s="62"/>
      <c r="K83" s="53">
        <f t="shared" si="5"/>
        <v>0</v>
      </c>
      <c r="L83" s="54">
        <v>2</v>
      </c>
      <c r="M83" s="81">
        <f t="shared" si="9"/>
        <v>-2</v>
      </c>
      <c r="N83" s="23">
        <f t="shared" si="6"/>
        <v>0</v>
      </c>
      <c r="O83" s="23">
        <f t="shared" si="7"/>
        <v>0</v>
      </c>
      <c r="P83" s="80">
        <f t="shared" si="8"/>
        <v>0</v>
      </c>
    </row>
    <row r="84" spans="2:16" x14ac:dyDescent="0.3">
      <c r="B84" s="49">
        <v>77</v>
      </c>
      <c r="C84" s="50">
        <v>31</v>
      </c>
      <c r="D84" s="20" t="s">
        <v>160</v>
      </c>
      <c r="E84" s="20"/>
      <c r="F84" s="51">
        <v>45149</v>
      </c>
      <c r="G84" s="52"/>
      <c r="H84" s="84">
        <v>0</v>
      </c>
      <c r="I84" s="20" t="s">
        <v>28</v>
      </c>
      <c r="J84" s="65"/>
      <c r="K84" s="53">
        <f t="shared" si="5"/>
        <v>0</v>
      </c>
      <c r="L84" s="54">
        <v>24</v>
      </c>
      <c r="M84" s="81">
        <f t="shared" si="9"/>
        <v>-24</v>
      </c>
      <c r="N84" s="23">
        <f t="shared" si="6"/>
        <v>0</v>
      </c>
      <c r="O84" s="23">
        <f t="shared" si="7"/>
        <v>0</v>
      </c>
      <c r="P84" s="80">
        <f t="shared" si="8"/>
        <v>0</v>
      </c>
    </row>
    <row r="85" spans="2:16" x14ac:dyDescent="0.3">
      <c r="B85" s="18">
        <v>78</v>
      </c>
      <c r="C85" s="56">
        <v>44121713</v>
      </c>
      <c r="D85" s="21" t="s">
        <v>161</v>
      </c>
      <c r="E85" s="49" t="s">
        <v>25</v>
      </c>
      <c r="F85" s="57" t="s">
        <v>162</v>
      </c>
      <c r="G85" s="57">
        <v>44349</v>
      </c>
      <c r="H85" s="85" t="s">
        <v>163</v>
      </c>
      <c r="I85" s="58" t="s">
        <v>38</v>
      </c>
      <c r="J85" s="59">
        <v>425</v>
      </c>
      <c r="K85" s="53">
        <f t="shared" si="5"/>
        <v>6375</v>
      </c>
      <c r="L85" s="60">
        <v>13.5</v>
      </c>
      <c r="M85" s="81">
        <f t="shared" si="9"/>
        <v>1.5</v>
      </c>
      <c r="N85" s="23">
        <f t="shared" si="6"/>
        <v>6375</v>
      </c>
      <c r="O85" s="23">
        <f t="shared" si="7"/>
        <v>5737.5</v>
      </c>
      <c r="P85" s="80">
        <f t="shared" si="8"/>
        <v>-637.5</v>
      </c>
    </row>
    <row r="86" spans="2:16" x14ac:dyDescent="0.3">
      <c r="B86" s="18">
        <v>79</v>
      </c>
      <c r="C86" s="63">
        <v>44121627</v>
      </c>
      <c r="D86" s="21" t="s">
        <v>164</v>
      </c>
      <c r="E86" s="49" t="s">
        <v>25</v>
      </c>
      <c r="F86" s="57" t="s">
        <v>36</v>
      </c>
      <c r="G86" s="57" t="s">
        <v>36</v>
      </c>
      <c r="H86" s="85" t="s">
        <v>165</v>
      </c>
      <c r="I86" s="58" t="s">
        <v>43</v>
      </c>
      <c r="J86" s="59">
        <v>23</v>
      </c>
      <c r="K86" s="53">
        <f t="shared" si="5"/>
        <v>483</v>
      </c>
      <c r="L86" s="54">
        <v>22</v>
      </c>
      <c r="M86" s="81">
        <f t="shared" si="9"/>
        <v>-1</v>
      </c>
      <c r="N86" s="23">
        <f t="shared" si="6"/>
        <v>483</v>
      </c>
      <c r="O86" s="23">
        <f t="shared" si="7"/>
        <v>506</v>
      </c>
      <c r="P86" s="80">
        <f t="shared" si="8"/>
        <v>23</v>
      </c>
    </row>
    <row r="87" spans="2:16" x14ac:dyDescent="0.3">
      <c r="B87" s="49">
        <v>80</v>
      </c>
      <c r="C87" s="50">
        <v>32</v>
      </c>
      <c r="D87" s="20" t="s">
        <v>166</v>
      </c>
      <c r="E87" s="20"/>
      <c r="F87" s="51">
        <v>45149</v>
      </c>
      <c r="G87" s="52"/>
      <c r="H87" s="84">
        <v>0</v>
      </c>
      <c r="I87" s="20" t="s">
        <v>33</v>
      </c>
      <c r="J87" s="62"/>
      <c r="K87" s="53">
        <f t="shared" si="5"/>
        <v>0</v>
      </c>
      <c r="L87" s="54">
        <f>1440+62+27</f>
        <v>1529</v>
      </c>
      <c r="M87" s="81">
        <f t="shared" si="9"/>
        <v>-1529</v>
      </c>
      <c r="N87" s="23">
        <f t="shared" si="6"/>
        <v>0</v>
      </c>
      <c r="O87" s="23">
        <f t="shared" si="7"/>
        <v>0</v>
      </c>
      <c r="P87" s="80">
        <f t="shared" si="8"/>
        <v>0</v>
      </c>
    </row>
    <row r="88" spans="2:16" x14ac:dyDescent="0.3">
      <c r="B88" s="49">
        <v>81</v>
      </c>
      <c r="C88" s="50">
        <v>33</v>
      </c>
      <c r="D88" s="20" t="s">
        <v>167</v>
      </c>
      <c r="E88" s="20"/>
      <c r="F88" s="51">
        <v>45149</v>
      </c>
      <c r="G88" s="52"/>
      <c r="H88" s="84">
        <v>0</v>
      </c>
      <c r="I88" s="20" t="s">
        <v>28</v>
      </c>
      <c r="J88" s="62"/>
      <c r="K88" s="53">
        <f t="shared" si="5"/>
        <v>0</v>
      </c>
      <c r="L88" s="54">
        <f>39+40</f>
        <v>79</v>
      </c>
      <c r="M88" s="81">
        <f t="shared" si="9"/>
        <v>-79</v>
      </c>
      <c r="N88" s="23">
        <f t="shared" si="6"/>
        <v>0</v>
      </c>
      <c r="O88" s="23">
        <f t="shared" si="7"/>
        <v>0</v>
      </c>
      <c r="P88" s="80">
        <f t="shared" si="8"/>
        <v>0</v>
      </c>
    </row>
    <row r="89" spans="2:16" x14ac:dyDescent="0.3">
      <c r="B89" s="18">
        <v>82</v>
      </c>
      <c r="C89" s="63">
        <v>14111530</v>
      </c>
      <c r="D89" s="21" t="s">
        <v>168</v>
      </c>
      <c r="E89" s="49" t="s">
        <v>25</v>
      </c>
      <c r="F89" s="57" t="s">
        <v>36</v>
      </c>
      <c r="G89" s="57" t="s">
        <v>36</v>
      </c>
      <c r="H89" s="85" t="s">
        <v>169</v>
      </c>
      <c r="I89" s="58" t="s">
        <v>43</v>
      </c>
      <c r="J89" s="59">
        <v>420</v>
      </c>
      <c r="K89" s="53">
        <f t="shared" si="5"/>
        <v>30240</v>
      </c>
      <c r="L89" s="54">
        <v>68</v>
      </c>
      <c r="M89" s="81">
        <f t="shared" si="9"/>
        <v>4</v>
      </c>
      <c r="N89" s="23">
        <f t="shared" si="6"/>
        <v>30240</v>
      </c>
      <c r="O89" s="23">
        <f t="shared" si="7"/>
        <v>28560</v>
      </c>
      <c r="P89" s="80">
        <f t="shared" si="8"/>
        <v>-1680</v>
      </c>
    </row>
    <row r="90" spans="2:16" x14ac:dyDescent="0.3">
      <c r="B90" s="18">
        <v>83</v>
      </c>
      <c r="C90" s="56">
        <v>44111503</v>
      </c>
      <c r="D90" s="21" t="s">
        <v>170</v>
      </c>
      <c r="E90" s="49" t="s">
        <v>25</v>
      </c>
      <c r="F90" s="57" t="s">
        <v>51</v>
      </c>
      <c r="G90" s="57" t="s">
        <v>51</v>
      </c>
      <c r="H90" s="85" t="s">
        <v>171</v>
      </c>
      <c r="I90" s="58" t="s">
        <v>28</v>
      </c>
      <c r="J90" s="59">
        <v>555</v>
      </c>
      <c r="K90" s="53">
        <f t="shared" si="5"/>
        <v>29415</v>
      </c>
      <c r="L90" s="54">
        <v>47</v>
      </c>
      <c r="M90" s="81">
        <f t="shared" si="9"/>
        <v>6</v>
      </c>
      <c r="N90" s="23">
        <f t="shared" si="6"/>
        <v>29415</v>
      </c>
      <c r="O90" s="23">
        <f t="shared" si="7"/>
        <v>26085</v>
      </c>
      <c r="P90" s="80">
        <f t="shared" si="8"/>
        <v>-3330</v>
      </c>
    </row>
    <row r="91" spans="2:16" x14ac:dyDescent="0.3">
      <c r="B91" s="49">
        <v>84</v>
      </c>
      <c r="C91" s="50">
        <v>34</v>
      </c>
      <c r="D91" s="20" t="s">
        <v>172</v>
      </c>
      <c r="E91" s="20"/>
      <c r="F91" s="51">
        <v>45149</v>
      </c>
      <c r="G91" s="52"/>
      <c r="H91" s="84">
        <v>0</v>
      </c>
      <c r="I91" s="58" t="s">
        <v>28</v>
      </c>
      <c r="J91" s="62"/>
      <c r="K91" s="53">
        <f t="shared" si="5"/>
        <v>0</v>
      </c>
      <c r="L91" s="54">
        <v>87</v>
      </c>
      <c r="M91" s="81">
        <f>+H91-L91</f>
        <v>-87</v>
      </c>
      <c r="N91" s="23">
        <f t="shared" si="6"/>
        <v>0</v>
      </c>
      <c r="O91" s="23">
        <f t="shared" si="7"/>
        <v>0</v>
      </c>
      <c r="P91" s="80">
        <f t="shared" si="8"/>
        <v>0</v>
      </c>
    </row>
    <row r="92" spans="2:16" x14ac:dyDescent="0.3">
      <c r="B92" s="49">
        <v>85</v>
      </c>
      <c r="C92" s="50">
        <v>35</v>
      </c>
      <c r="D92" s="20" t="s">
        <v>173</v>
      </c>
      <c r="E92" s="20"/>
      <c r="F92" s="51">
        <v>45149</v>
      </c>
      <c r="G92" s="52"/>
      <c r="H92" s="84">
        <v>0</v>
      </c>
      <c r="I92" s="58" t="s">
        <v>28</v>
      </c>
      <c r="J92" s="62"/>
      <c r="K92" s="53">
        <f t="shared" si="5"/>
        <v>0</v>
      </c>
      <c r="L92" s="54">
        <v>80</v>
      </c>
      <c r="M92" s="81">
        <f t="shared" si="9"/>
        <v>-80</v>
      </c>
      <c r="N92" s="23">
        <f t="shared" si="6"/>
        <v>0</v>
      </c>
      <c r="O92" s="23">
        <f t="shared" si="7"/>
        <v>0</v>
      </c>
      <c r="P92" s="80">
        <f t="shared" si="8"/>
        <v>0</v>
      </c>
    </row>
    <row r="93" spans="2:16" x14ac:dyDescent="0.3">
      <c r="B93" s="18">
        <v>86</v>
      </c>
      <c r="C93" s="56" t="s">
        <v>174</v>
      </c>
      <c r="D93" s="21" t="s">
        <v>175</v>
      </c>
      <c r="E93" s="49" t="s">
        <v>25</v>
      </c>
      <c r="F93" s="57" t="s">
        <v>36</v>
      </c>
      <c r="G93" s="57" t="s">
        <v>36</v>
      </c>
      <c r="H93" s="85" t="s">
        <v>176</v>
      </c>
      <c r="I93" s="58" t="s">
        <v>177</v>
      </c>
      <c r="J93" s="59">
        <v>285</v>
      </c>
      <c r="K93" s="53">
        <f t="shared" si="5"/>
        <v>114000</v>
      </c>
      <c r="L93" s="54">
        <f>10+410</f>
        <v>420</v>
      </c>
      <c r="M93" s="81">
        <f t="shared" si="9"/>
        <v>-20</v>
      </c>
      <c r="N93" s="23">
        <f t="shared" si="6"/>
        <v>114000</v>
      </c>
      <c r="O93" s="23">
        <f t="shared" si="7"/>
        <v>119700</v>
      </c>
      <c r="P93" s="80">
        <f t="shared" si="8"/>
        <v>5700</v>
      </c>
    </row>
    <row r="94" spans="2:16" x14ac:dyDescent="0.3">
      <c r="B94" s="18">
        <v>87</v>
      </c>
      <c r="C94" s="56">
        <v>14111507</v>
      </c>
      <c r="D94" s="21" t="s">
        <v>178</v>
      </c>
      <c r="E94" s="49" t="s">
        <v>25</v>
      </c>
      <c r="F94" s="57">
        <v>43132</v>
      </c>
      <c r="G94" s="57" t="s">
        <v>51</v>
      </c>
      <c r="H94" s="85" t="s">
        <v>92</v>
      </c>
      <c r="I94" s="58" t="s">
        <v>177</v>
      </c>
      <c r="J94" s="59">
        <v>230</v>
      </c>
      <c r="K94" s="53">
        <f t="shared" si="5"/>
        <v>5750</v>
      </c>
      <c r="L94" s="54">
        <v>21</v>
      </c>
      <c r="M94" s="81">
        <f t="shared" si="9"/>
        <v>4</v>
      </c>
      <c r="N94" s="23">
        <f t="shared" si="6"/>
        <v>5750</v>
      </c>
      <c r="O94" s="23">
        <f t="shared" si="7"/>
        <v>4830</v>
      </c>
      <c r="P94" s="80">
        <f t="shared" si="8"/>
        <v>-920</v>
      </c>
    </row>
    <row r="95" spans="2:16" x14ac:dyDescent="0.3">
      <c r="B95" s="49">
        <v>88</v>
      </c>
      <c r="C95" s="56">
        <v>11151712</v>
      </c>
      <c r="D95" s="21" t="s">
        <v>179</v>
      </c>
      <c r="E95" s="49" t="s">
        <v>25</v>
      </c>
      <c r="F95" s="57">
        <v>43914</v>
      </c>
      <c r="G95" s="57" t="s">
        <v>51</v>
      </c>
      <c r="H95" s="85" t="s">
        <v>84</v>
      </c>
      <c r="I95" s="58" t="s">
        <v>177</v>
      </c>
      <c r="J95" s="59">
        <v>470</v>
      </c>
      <c r="K95" s="53">
        <f t="shared" si="5"/>
        <v>5170</v>
      </c>
      <c r="L95" s="54">
        <v>0</v>
      </c>
      <c r="M95" s="81">
        <f t="shared" si="9"/>
        <v>11</v>
      </c>
      <c r="N95" s="23">
        <f t="shared" si="6"/>
        <v>5170</v>
      </c>
      <c r="O95" s="23">
        <f t="shared" si="7"/>
        <v>0</v>
      </c>
      <c r="P95" s="80">
        <f t="shared" si="8"/>
        <v>-5170</v>
      </c>
    </row>
    <row r="96" spans="2:16" x14ac:dyDescent="0.3">
      <c r="B96" s="49">
        <v>89</v>
      </c>
      <c r="C96" s="50">
        <v>36</v>
      </c>
      <c r="D96" s="20" t="s">
        <v>180</v>
      </c>
      <c r="E96" s="20"/>
      <c r="F96" s="51">
        <v>45149</v>
      </c>
      <c r="G96" s="52"/>
      <c r="H96" s="84">
        <v>0</v>
      </c>
      <c r="I96" s="20" t="s">
        <v>130</v>
      </c>
      <c r="J96" s="75">
        <v>520</v>
      </c>
      <c r="K96" s="53">
        <f t="shared" si="5"/>
        <v>0</v>
      </c>
      <c r="L96" s="60">
        <v>509.3</v>
      </c>
      <c r="M96" s="81">
        <f t="shared" si="9"/>
        <v>-509.3</v>
      </c>
      <c r="N96" s="23">
        <f t="shared" si="6"/>
        <v>0</v>
      </c>
      <c r="O96" s="23">
        <f t="shared" si="7"/>
        <v>264836</v>
      </c>
      <c r="P96" s="80">
        <f t="shared" si="8"/>
        <v>264836</v>
      </c>
    </row>
    <row r="97" spans="2:16" x14ac:dyDescent="0.3">
      <c r="B97" s="18">
        <v>90</v>
      </c>
      <c r="C97" s="50">
        <v>37</v>
      </c>
      <c r="D97" s="20" t="s">
        <v>181</v>
      </c>
      <c r="E97" s="20"/>
      <c r="F97" s="51">
        <v>45149</v>
      </c>
      <c r="G97" s="52"/>
      <c r="H97" s="84">
        <v>0</v>
      </c>
      <c r="I97" s="20" t="s">
        <v>33</v>
      </c>
      <c r="J97" s="75">
        <v>480</v>
      </c>
      <c r="K97" s="53">
        <f t="shared" si="5"/>
        <v>0</v>
      </c>
      <c r="L97" s="54">
        <v>21</v>
      </c>
      <c r="M97" s="81">
        <f t="shared" si="9"/>
        <v>-21</v>
      </c>
      <c r="N97" s="23">
        <f t="shared" si="6"/>
        <v>0</v>
      </c>
      <c r="O97" s="23">
        <f t="shared" si="7"/>
        <v>10080</v>
      </c>
      <c r="P97" s="80">
        <f t="shared" si="8"/>
        <v>10080</v>
      </c>
    </row>
    <row r="98" spans="2:16" x14ac:dyDescent="0.3">
      <c r="B98" s="18">
        <v>91</v>
      </c>
      <c r="C98" s="50">
        <v>38</v>
      </c>
      <c r="D98" s="20" t="s">
        <v>182</v>
      </c>
      <c r="E98" s="20"/>
      <c r="F98" s="51">
        <v>45149</v>
      </c>
      <c r="G98" s="52"/>
      <c r="H98" s="84">
        <v>0</v>
      </c>
      <c r="I98" s="20" t="s">
        <v>183</v>
      </c>
      <c r="J98" s="75">
        <v>37</v>
      </c>
      <c r="K98" s="53">
        <f t="shared" si="5"/>
        <v>0</v>
      </c>
      <c r="L98" s="54">
        <f>71+16</f>
        <v>87</v>
      </c>
      <c r="M98" s="81">
        <f t="shared" si="9"/>
        <v>-87</v>
      </c>
      <c r="N98" s="23">
        <f t="shared" si="6"/>
        <v>0</v>
      </c>
      <c r="O98" s="23">
        <f t="shared" si="7"/>
        <v>3219</v>
      </c>
      <c r="P98" s="80">
        <f t="shared" si="8"/>
        <v>3219</v>
      </c>
    </row>
    <row r="99" spans="2:16" x14ac:dyDescent="0.3">
      <c r="B99" s="49">
        <v>92</v>
      </c>
      <c r="C99" s="50">
        <v>39</v>
      </c>
      <c r="D99" s="20" t="s">
        <v>184</v>
      </c>
      <c r="E99" s="20"/>
      <c r="F99" s="51">
        <v>45149</v>
      </c>
      <c r="G99" s="52"/>
      <c r="H99" s="84">
        <v>0</v>
      </c>
      <c r="I99" s="20" t="s">
        <v>54</v>
      </c>
      <c r="J99" s="75">
        <v>727</v>
      </c>
      <c r="K99" s="53">
        <f t="shared" si="5"/>
        <v>0</v>
      </c>
      <c r="L99" s="54">
        <v>10.6</v>
      </c>
      <c r="M99" s="81">
        <f t="shared" si="9"/>
        <v>-10.6</v>
      </c>
      <c r="N99" s="23">
        <f t="shared" si="6"/>
        <v>0</v>
      </c>
      <c r="O99" s="23">
        <f t="shared" si="7"/>
        <v>7706.2</v>
      </c>
      <c r="P99" s="80">
        <f t="shared" si="8"/>
        <v>7706.2</v>
      </c>
    </row>
    <row r="100" spans="2:16" x14ac:dyDescent="0.3">
      <c r="B100" s="49">
        <v>93</v>
      </c>
      <c r="C100" s="56">
        <v>44101716</v>
      </c>
      <c r="D100" s="21" t="s">
        <v>185</v>
      </c>
      <c r="E100" s="49" t="s">
        <v>25</v>
      </c>
      <c r="F100" s="57" t="s">
        <v>51</v>
      </c>
      <c r="G100" s="57" t="s">
        <v>51</v>
      </c>
      <c r="H100" s="85" t="s">
        <v>165</v>
      </c>
      <c r="I100" s="58" t="s">
        <v>28</v>
      </c>
      <c r="J100" s="59">
        <v>289</v>
      </c>
      <c r="K100" s="53">
        <f t="shared" si="5"/>
        <v>6069</v>
      </c>
      <c r="L100" s="54">
        <v>21</v>
      </c>
      <c r="M100" s="81">
        <f t="shared" si="9"/>
        <v>0</v>
      </c>
      <c r="N100" s="23">
        <f t="shared" si="6"/>
        <v>6069</v>
      </c>
      <c r="O100" s="23">
        <f t="shared" si="7"/>
        <v>6069</v>
      </c>
      <c r="P100" s="80">
        <f t="shared" si="8"/>
        <v>0</v>
      </c>
    </row>
    <row r="101" spans="2:16" x14ac:dyDescent="0.3">
      <c r="B101" s="18">
        <v>94</v>
      </c>
      <c r="C101" s="50">
        <v>40</v>
      </c>
      <c r="D101" s="20" t="s">
        <v>186</v>
      </c>
      <c r="E101" s="20"/>
      <c r="F101" s="51">
        <v>45149</v>
      </c>
      <c r="G101" s="52"/>
      <c r="H101" s="84">
        <v>0</v>
      </c>
      <c r="I101" s="58" t="s">
        <v>28</v>
      </c>
      <c r="J101" s="75">
        <v>230</v>
      </c>
      <c r="K101" s="53">
        <f t="shared" si="5"/>
        <v>0</v>
      </c>
      <c r="L101" s="54">
        <f>109+24</f>
        <v>133</v>
      </c>
      <c r="M101" s="86">
        <f t="shared" si="9"/>
        <v>-133</v>
      </c>
      <c r="N101" s="23">
        <f t="shared" si="6"/>
        <v>0</v>
      </c>
      <c r="O101" s="23">
        <f t="shared" si="7"/>
        <v>30590</v>
      </c>
      <c r="P101" s="80">
        <f t="shared" si="8"/>
        <v>30590</v>
      </c>
    </row>
    <row r="102" spans="2:16" x14ac:dyDescent="0.3">
      <c r="B102" s="18">
        <v>95</v>
      </c>
      <c r="C102" s="50">
        <v>41</v>
      </c>
      <c r="D102" s="21" t="s">
        <v>187</v>
      </c>
      <c r="E102" s="49"/>
      <c r="F102" s="51">
        <v>45149</v>
      </c>
      <c r="G102" s="57"/>
      <c r="H102" s="85"/>
      <c r="I102" s="58" t="s">
        <v>28</v>
      </c>
      <c r="J102" s="66"/>
      <c r="K102" s="53">
        <f t="shared" si="5"/>
        <v>0</v>
      </c>
      <c r="L102" s="54">
        <v>3</v>
      </c>
      <c r="M102" s="81">
        <f t="shared" si="9"/>
        <v>-3</v>
      </c>
      <c r="N102" s="23">
        <f t="shared" si="6"/>
        <v>0</v>
      </c>
      <c r="O102" s="23">
        <f t="shared" si="7"/>
        <v>0</v>
      </c>
      <c r="P102" s="80">
        <f t="shared" si="8"/>
        <v>0</v>
      </c>
    </row>
    <row r="103" spans="2:16" x14ac:dyDescent="0.3">
      <c r="B103" s="49">
        <v>96</v>
      </c>
      <c r="C103" s="50">
        <v>42</v>
      </c>
      <c r="D103" s="21" t="s">
        <v>188</v>
      </c>
      <c r="E103" s="49"/>
      <c r="F103" s="51">
        <v>45149</v>
      </c>
      <c r="G103" s="57"/>
      <c r="H103" s="85"/>
      <c r="I103" s="58" t="s">
        <v>28</v>
      </c>
      <c r="J103" s="66"/>
      <c r="K103" s="53">
        <f t="shared" si="5"/>
        <v>0</v>
      </c>
      <c r="L103" s="54">
        <v>2</v>
      </c>
      <c r="M103" s="81">
        <f t="shared" si="9"/>
        <v>-2</v>
      </c>
      <c r="N103" s="23">
        <f t="shared" si="6"/>
        <v>0</v>
      </c>
      <c r="O103" s="23">
        <f t="shared" si="7"/>
        <v>0</v>
      </c>
      <c r="P103" s="80">
        <f t="shared" si="8"/>
        <v>0</v>
      </c>
    </row>
    <row r="104" spans="2:16" x14ac:dyDescent="0.3">
      <c r="B104" s="49">
        <v>97</v>
      </c>
      <c r="C104" s="50">
        <v>43</v>
      </c>
      <c r="D104" s="21" t="s">
        <v>189</v>
      </c>
      <c r="E104" s="49"/>
      <c r="F104" s="51">
        <v>45149</v>
      </c>
      <c r="G104" s="57"/>
      <c r="H104" s="85"/>
      <c r="I104" s="58" t="s">
        <v>28</v>
      </c>
      <c r="J104" s="66"/>
      <c r="K104" s="53">
        <f>+H104*J104</f>
        <v>0</v>
      </c>
      <c r="L104" s="54">
        <v>3</v>
      </c>
      <c r="M104" s="81">
        <f t="shared" si="9"/>
        <v>-3</v>
      </c>
      <c r="N104" s="23">
        <f t="shared" si="6"/>
        <v>0</v>
      </c>
      <c r="O104" s="23">
        <f t="shared" si="7"/>
        <v>0</v>
      </c>
      <c r="P104" s="80">
        <f t="shared" si="8"/>
        <v>0</v>
      </c>
    </row>
    <row r="105" spans="2:16" x14ac:dyDescent="0.3">
      <c r="B105" s="18">
        <v>98</v>
      </c>
      <c r="C105" s="50">
        <v>44</v>
      </c>
      <c r="D105" s="21" t="s">
        <v>190</v>
      </c>
      <c r="E105" s="49"/>
      <c r="F105" s="51">
        <v>45149</v>
      </c>
      <c r="G105" s="57"/>
      <c r="H105" s="85"/>
      <c r="I105" s="58" t="s">
        <v>28</v>
      </c>
      <c r="J105" s="66"/>
      <c r="K105" s="53">
        <f>+H105*J105</f>
        <v>0</v>
      </c>
      <c r="L105" s="54">
        <v>2</v>
      </c>
      <c r="M105" s="81">
        <f t="shared" si="9"/>
        <v>-2</v>
      </c>
      <c r="N105" s="23">
        <f t="shared" si="6"/>
        <v>0</v>
      </c>
      <c r="O105" s="23">
        <f t="shared" si="7"/>
        <v>0</v>
      </c>
      <c r="P105" s="80">
        <f t="shared" si="8"/>
        <v>0</v>
      </c>
    </row>
    <row r="106" spans="2:16" x14ac:dyDescent="0.3">
      <c r="B106" s="18">
        <v>99</v>
      </c>
      <c r="C106" s="50">
        <v>45</v>
      </c>
      <c r="D106" s="20" t="s">
        <v>191</v>
      </c>
      <c r="E106" s="20"/>
      <c r="F106" s="51">
        <v>45149</v>
      </c>
      <c r="G106" s="52"/>
      <c r="H106" s="84">
        <v>0</v>
      </c>
      <c r="I106" s="58" t="s">
        <v>28</v>
      </c>
      <c r="J106" s="65"/>
      <c r="K106" s="53">
        <f>+H106*J106</f>
        <v>0</v>
      </c>
      <c r="L106" s="54">
        <v>87</v>
      </c>
      <c r="M106" s="81">
        <f t="shared" si="9"/>
        <v>-87</v>
      </c>
      <c r="N106" s="23">
        <f t="shared" si="6"/>
        <v>0</v>
      </c>
      <c r="O106" s="23">
        <f t="shared" si="7"/>
        <v>0</v>
      </c>
      <c r="P106" s="80">
        <f t="shared" si="8"/>
        <v>0</v>
      </c>
    </row>
    <row r="107" spans="2:16" x14ac:dyDescent="0.3">
      <c r="B107" s="49">
        <v>100</v>
      </c>
      <c r="C107" s="50">
        <v>46</v>
      </c>
      <c r="D107" s="20" t="s">
        <v>192</v>
      </c>
      <c r="E107" s="20"/>
      <c r="F107" s="51">
        <v>45149</v>
      </c>
      <c r="G107" s="61">
        <v>45171</v>
      </c>
      <c r="H107" s="84">
        <v>0</v>
      </c>
      <c r="I107" s="58" t="s">
        <v>28</v>
      </c>
      <c r="J107" s="76">
        <v>272.58</v>
      </c>
      <c r="K107" s="53">
        <f t="shared" si="5"/>
        <v>0</v>
      </c>
      <c r="L107" s="54">
        <v>68</v>
      </c>
      <c r="M107" s="81">
        <f t="shared" si="9"/>
        <v>-68</v>
      </c>
      <c r="N107" s="23">
        <f t="shared" si="6"/>
        <v>0</v>
      </c>
      <c r="O107" s="23">
        <f t="shared" si="7"/>
        <v>18535.439999999999</v>
      </c>
      <c r="P107" s="80">
        <f t="shared" si="8"/>
        <v>18535.439999999999</v>
      </c>
    </row>
    <row r="108" spans="2:16" x14ac:dyDescent="0.3">
      <c r="B108" s="49">
        <v>101</v>
      </c>
      <c r="C108" s="50">
        <v>47</v>
      </c>
      <c r="D108" s="20" t="s">
        <v>193</v>
      </c>
      <c r="E108" s="20"/>
      <c r="F108" s="51">
        <v>45149</v>
      </c>
      <c r="G108" s="61">
        <v>45171</v>
      </c>
      <c r="H108" s="84">
        <v>0</v>
      </c>
      <c r="I108" s="58" t="s">
        <v>28</v>
      </c>
      <c r="J108" s="76">
        <v>80.989999999999995</v>
      </c>
      <c r="K108" s="53">
        <f t="shared" si="5"/>
        <v>0</v>
      </c>
      <c r="L108" s="54">
        <v>117</v>
      </c>
      <c r="M108" s="81">
        <f t="shared" si="9"/>
        <v>-117</v>
      </c>
      <c r="N108" s="23">
        <f t="shared" si="6"/>
        <v>0</v>
      </c>
      <c r="O108" s="23">
        <f t="shared" si="7"/>
        <v>9475.83</v>
      </c>
      <c r="P108" s="80">
        <f t="shared" si="8"/>
        <v>9475.83</v>
      </c>
    </row>
    <row r="109" spans="2:16" x14ac:dyDescent="0.3">
      <c r="B109" s="18">
        <v>102</v>
      </c>
      <c r="C109" s="50">
        <v>48</v>
      </c>
      <c r="D109" s="20" t="s">
        <v>194</v>
      </c>
      <c r="E109" s="20"/>
      <c r="F109" s="51">
        <v>45149</v>
      </c>
      <c r="G109" s="52"/>
      <c r="H109" s="84">
        <v>0</v>
      </c>
      <c r="I109" s="20" t="s">
        <v>195</v>
      </c>
      <c r="J109" s="76">
        <v>422.49</v>
      </c>
      <c r="K109" s="53">
        <f t="shared" si="5"/>
        <v>0</v>
      </c>
      <c r="L109" s="54">
        <v>7</v>
      </c>
      <c r="M109" s="81">
        <f t="shared" si="9"/>
        <v>-7</v>
      </c>
      <c r="N109" s="23">
        <f t="shared" si="6"/>
        <v>0</v>
      </c>
      <c r="O109" s="23">
        <f t="shared" si="7"/>
        <v>2957.4300000000003</v>
      </c>
      <c r="P109" s="80">
        <f t="shared" si="8"/>
        <v>2957.4300000000003</v>
      </c>
    </row>
    <row r="110" spans="2:16" x14ac:dyDescent="0.3">
      <c r="B110" s="18">
        <v>103</v>
      </c>
      <c r="C110" s="56">
        <v>44111509</v>
      </c>
      <c r="D110" s="21" t="s">
        <v>196</v>
      </c>
      <c r="E110" s="49" t="s">
        <v>25</v>
      </c>
      <c r="F110" s="57" t="s">
        <v>86</v>
      </c>
      <c r="G110" s="57" t="s">
        <v>86</v>
      </c>
      <c r="H110" s="85" t="s">
        <v>197</v>
      </c>
      <c r="I110" s="58" t="s">
        <v>28</v>
      </c>
      <c r="J110" s="59">
        <v>32</v>
      </c>
      <c r="K110" s="53">
        <f t="shared" si="5"/>
        <v>1248</v>
      </c>
      <c r="L110" s="54">
        <v>105</v>
      </c>
      <c r="M110" s="81">
        <f t="shared" si="9"/>
        <v>-66</v>
      </c>
      <c r="N110" s="23">
        <f t="shared" si="6"/>
        <v>1248</v>
      </c>
      <c r="O110" s="23">
        <f t="shared" si="7"/>
        <v>3360</v>
      </c>
      <c r="P110" s="80">
        <f t="shared" si="8"/>
        <v>2112</v>
      </c>
    </row>
    <row r="111" spans="2:16" x14ac:dyDescent="0.3">
      <c r="B111" s="49">
        <v>104</v>
      </c>
      <c r="C111" s="50">
        <v>14111530</v>
      </c>
      <c r="D111" s="21" t="s">
        <v>198</v>
      </c>
      <c r="E111" s="49" t="s">
        <v>25</v>
      </c>
      <c r="F111" s="57" t="s">
        <v>36</v>
      </c>
      <c r="G111" s="57" t="s">
        <v>36</v>
      </c>
      <c r="H111" s="85" t="s">
        <v>48</v>
      </c>
      <c r="I111" s="58" t="s">
        <v>28</v>
      </c>
      <c r="J111" s="59">
        <v>62</v>
      </c>
      <c r="K111" s="53">
        <f t="shared" si="5"/>
        <v>4340</v>
      </c>
      <c r="L111" s="54">
        <v>103</v>
      </c>
      <c r="M111" s="81">
        <f t="shared" si="9"/>
        <v>-33</v>
      </c>
      <c r="N111" s="23">
        <f t="shared" si="6"/>
        <v>4340</v>
      </c>
      <c r="O111" s="23">
        <f t="shared" si="7"/>
        <v>6386</v>
      </c>
      <c r="P111" s="80">
        <f t="shared" si="8"/>
        <v>2046</v>
      </c>
    </row>
    <row r="112" spans="2:16" x14ac:dyDescent="0.3">
      <c r="B112" s="49">
        <v>105</v>
      </c>
      <c r="C112" s="50">
        <v>44103103</v>
      </c>
      <c r="D112" s="21" t="s">
        <v>199</v>
      </c>
      <c r="E112" s="49" t="s">
        <v>25</v>
      </c>
      <c r="F112" s="57">
        <v>44497</v>
      </c>
      <c r="G112" s="57">
        <v>44497</v>
      </c>
      <c r="H112" s="85" t="s">
        <v>90</v>
      </c>
      <c r="I112" s="58" t="s">
        <v>28</v>
      </c>
      <c r="J112" s="59">
        <v>7805</v>
      </c>
      <c r="K112" s="53">
        <f t="shared" si="5"/>
        <v>70245</v>
      </c>
      <c r="L112" s="54">
        <v>10</v>
      </c>
      <c r="M112" s="81">
        <f t="shared" si="9"/>
        <v>-1</v>
      </c>
      <c r="N112" s="23">
        <f t="shared" si="6"/>
        <v>70245</v>
      </c>
      <c r="O112" s="23">
        <f t="shared" si="7"/>
        <v>78050</v>
      </c>
      <c r="P112" s="80">
        <f t="shared" si="8"/>
        <v>7805</v>
      </c>
    </row>
    <row r="113" spans="2:16" x14ac:dyDescent="0.3">
      <c r="B113" s="18">
        <v>106</v>
      </c>
      <c r="C113" s="56" t="s">
        <v>200</v>
      </c>
      <c r="D113" s="21" t="s">
        <v>201</v>
      </c>
      <c r="E113" s="49" t="s">
        <v>25</v>
      </c>
      <c r="F113" s="57" t="s">
        <v>36</v>
      </c>
      <c r="G113" s="57" t="s">
        <v>36</v>
      </c>
      <c r="H113" s="85" t="s">
        <v>37</v>
      </c>
      <c r="I113" s="58" t="s">
        <v>33</v>
      </c>
      <c r="J113" s="59">
        <v>330</v>
      </c>
      <c r="K113" s="53">
        <f t="shared" si="5"/>
        <v>66000</v>
      </c>
      <c r="L113" s="54">
        <f>197+40</f>
        <v>237</v>
      </c>
      <c r="M113" s="81">
        <f t="shared" si="9"/>
        <v>-37</v>
      </c>
      <c r="N113" s="23">
        <f t="shared" si="6"/>
        <v>66000</v>
      </c>
      <c r="O113" s="23">
        <f t="shared" si="7"/>
        <v>78210</v>
      </c>
      <c r="P113" s="80">
        <f t="shared" si="8"/>
        <v>12210</v>
      </c>
    </row>
    <row r="114" spans="2:16" x14ac:dyDescent="0.3">
      <c r="B114" s="18">
        <v>107</v>
      </c>
      <c r="C114" s="50">
        <v>49</v>
      </c>
      <c r="D114" s="20" t="s">
        <v>202</v>
      </c>
      <c r="E114" s="20"/>
      <c r="F114" s="51">
        <v>45149</v>
      </c>
      <c r="G114" s="61">
        <v>45171</v>
      </c>
      <c r="H114" s="84">
        <v>0</v>
      </c>
      <c r="I114" s="58" t="s">
        <v>28</v>
      </c>
      <c r="J114" s="76">
        <v>218.74</v>
      </c>
      <c r="K114" s="53">
        <f t="shared" si="5"/>
        <v>0</v>
      </c>
      <c r="L114" s="54">
        <v>18</v>
      </c>
      <c r="M114" s="81">
        <f t="shared" si="9"/>
        <v>-18</v>
      </c>
      <c r="N114" s="23">
        <f t="shared" si="6"/>
        <v>0</v>
      </c>
      <c r="O114" s="23">
        <f t="shared" si="7"/>
        <v>3937.32</v>
      </c>
      <c r="P114" s="80">
        <f t="shared" si="8"/>
        <v>3937.32</v>
      </c>
    </row>
    <row r="115" spans="2:16" x14ac:dyDescent="0.3">
      <c r="B115" s="49">
        <v>108</v>
      </c>
      <c r="C115" s="50">
        <v>50</v>
      </c>
      <c r="D115" s="20" t="s">
        <v>203</v>
      </c>
      <c r="E115" s="20"/>
      <c r="F115" s="51">
        <v>45149</v>
      </c>
      <c r="G115" s="61">
        <v>45171</v>
      </c>
      <c r="H115" s="84">
        <v>0</v>
      </c>
      <c r="I115" s="58" t="s">
        <v>28</v>
      </c>
      <c r="J115" s="75">
        <v>99.12</v>
      </c>
      <c r="K115" s="53">
        <f t="shared" si="5"/>
        <v>0</v>
      </c>
      <c r="L115" s="54">
        <f>24+6+24+1+19</f>
        <v>74</v>
      </c>
      <c r="M115" s="81">
        <f>+H115-L115</f>
        <v>-74</v>
      </c>
      <c r="N115" s="23">
        <f t="shared" si="6"/>
        <v>0</v>
      </c>
      <c r="O115" s="23">
        <f t="shared" si="7"/>
        <v>7334.88</v>
      </c>
      <c r="P115" s="80">
        <f t="shared" si="8"/>
        <v>7334.88</v>
      </c>
    </row>
    <row r="116" spans="2:16" x14ac:dyDescent="0.3">
      <c r="B116" s="49">
        <v>109</v>
      </c>
      <c r="C116" s="56" t="s">
        <v>204</v>
      </c>
      <c r="D116" s="21" t="s">
        <v>205</v>
      </c>
      <c r="E116" s="49" t="s">
        <v>25</v>
      </c>
      <c r="F116" s="57" t="s">
        <v>36</v>
      </c>
      <c r="G116" s="57" t="s">
        <v>36</v>
      </c>
      <c r="H116" s="85" t="s">
        <v>48</v>
      </c>
      <c r="I116" s="58" t="s">
        <v>43</v>
      </c>
      <c r="J116" s="59">
        <v>262</v>
      </c>
      <c r="K116" s="53">
        <f t="shared" si="5"/>
        <v>18340</v>
      </c>
      <c r="L116" s="54">
        <v>107</v>
      </c>
      <c r="M116" s="81">
        <f t="shared" si="9"/>
        <v>-37</v>
      </c>
      <c r="N116" s="23">
        <f t="shared" si="6"/>
        <v>18340</v>
      </c>
      <c r="O116" s="23">
        <f t="shared" si="7"/>
        <v>28034</v>
      </c>
      <c r="P116" s="80">
        <f t="shared" si="8"/>
        <v>9694</v>
      </c>
    </row>
    <row r="117" spans="2:16" x14ac:dyDescent="0.3">
      <c r="B117" s="18">
        <v>110</v>
      </c>
      <c r="C117" s="56">
        <v>14111515</v>
      </c>
      <c r="D117" s="21" t="s">
        <v>206</v>
      </c>
      <c r="E117" s="49" t="s">
        <v>25</v>
      </c>
      <c r="F117" s="57">
        <v>43817</v>
      </c>
      <c r="G117" s="57">
        <v>44344</v>
      </c>
      <c r="H117" s="85" t="s">
        <v>207</v>
      </c>
      <c r="I117" s="58" t="s">
        <v>28</v>
      </c>
      <c r="J117" s="59">
        <v>37.996000000000002</v>
      </c>
      <c r="K117" s="53">
        <f t="shared" si="5"/>
        <v>3039.6800000000003</v>
      </c>
      <c r="L117" s="54">
        <f>92+23</f>
        <v>115</v>
      </c>
      <c r="M117" s="81">
        <f t="shared" si="9"/>
        <v>-35</v>
      </c>
      <c r="N117" s="23">
        <f t="shared" si="6"/>
        <v>3039.6800000000003</v>
      </c>
      <c r="O117" s="23">
        <f t="shared" si="7"/>
        <v>4369.54</v>
      </c>
      <c r="P117" s="80">
        <f t="shared" si="8"/>
        <v>1329.8599999999997</v>
      </c>
    </row>
    <row r="118" spans="2:16" x14ac:dyDescent="0.3">
      <c r="B118" s="18">
        <v>111</v>
      </c>
      <c r="C118" s="56">
        <v>44121613</v>
      </c>
      <c r="D118" s="21" t="s">
        <v>208</v>
      </c>
      <c r="E118" s="49" t="s">
        <v>25</v>
      </c>
      <c r="F118" s="57" t="s">
        <v>36</v>
      </c>
      <c r="G118" s="57" t="s">
        <v>36</v>
      </c>
      <c r="H118" s="85" t="s">
        <v>27</v>
      </c>
      <c r="I118" s="58" t="s">
        <v>28</v>
      </c>
      <c r="J118" s="59">
        <v>31</v>
      </c>
      <c r="K118" s="53">
        <f t="shared" si="5"/>
        <v>1860</v>
      </c>
      <c r="L118" s="54">
        <v>71</v>
      </c>
      <c r="M118" s="81">
        <f t="shared" si="9"/>
        <v>-11</v>
      </c>
      <c r="N118" s="23">
        <f t="shared" si="6"/>
        <v>1860</v>
      </c>
      <c r="O118" s="23">
        <f t="shared" si="7"/>
        <v>2201</v>
      </c>
      <c r="P118" s="80">
        <f t="shared" si="8"/>
        <v>341</v>
      </c>
    </row>
    <row r="119" spans="2:16" x14ac:dyDescent="0.3">
      <c r="B119" s="49">
        <v>112</v>
      </c>
      <c r="C119" s="56">
        <v>44121619</v>
      </c>
      <c r="D119" s="21" t="s">
        <v>209</v>
      </c>
      <c r="E119" s="49" t="s">
        <v>25</v>
      </c>
      <c r="F119" s="57" t="s">
        <v>36</v>
      </c>
      <c r="G119" s="57" t="s">
        <v>36</v>
      </c>
      <c r="H119" s="85" t="s">
        <v>210</v>
      </c>
      <c r="I119" s="58" t="s">
        <v>28</v>
      </c>
      <c r="J119" s="59">
        <v>6</v>
      </c>
      <c r="K119" s="53">
        <f t="shared" si="5"/>
        <v>540</v>
      </c>
      <c r="L119" s="54">
        <v>75</v>
      </c>
      <c r="M119" s="81">
        <f t="shared" si="9"/>
        <v>15</v>
      </c>
      <c r="N119" s="23">
        <f t="shared" si="6"/>
        <v>540</v>
      </c>
      <c r="O119" s="23">
        <f t="shared" si="7"/>
        <v>450</v>
      </c>
      <c r="P119" s="80">
        <f t="shared" si="8"/>
        <v>-90</v>
      </c>
    </row>
    <row r="120" spans="2:16" x14ac:dyDescent="0.3">
      <c r="B120" s="49">
        <v>113</v>
      </c>
      <c r="C120" s="50">
        <v>51</v>
      </c>
      <c r="D120" s="20" t="s">
        <v>211</v>
      </c>
      <c r="E120" s="20"/>
      <c r="F120" s="51">
        <v>45149</v>
      </c>
      <c r="G120" s="52"/>
      <c r="H120" s="84">
        <v>0</v>
      </c>
      <c r="I120" s="20" t="s">
        <v>212</v>
      </c>
      <c r="J120" s="75">
        <v>89</v>
      </c>
      <c r="K120" s="53">
        <f t="shared" si="5"/>
        <v>0</v>
      </c>
      <c r="L120" s="54">
        <v>10</v>
      </c>
      <c r="M120" s="81">
        <f t="shared" si="9"/>
        <v>-10</v>
      </c>
      <c r="N120" s="23">
        <f t="shared" si="6"/>
        <v>0</v>
      </c>
      <c r="O120" s="23">
        <f t="shared" si="7"/>
        <v>890</v>
      </c>
      <c r="P120" s="80">
        <f t="shared" si="8"/>
        <v>890</v>
      </c>
    </row>
    <row r="121" spans="2:16" x14ac:dyDescent="0.3">
      <c r="B121" s="18">
        <v>114</v>
      </c>
      <c r="C121" s="56">
        <v>14111705</v>
      </c>
      <c r="D121" s="21" t="s">
        <v>213</v>
      </c>
      <c r="E121" s="49" t="s">
        <v>25</v>
      </c>
      <c r="F121" s="57">
        <v>44986</v>
      </c>
      <c r="G121" s="57">
        <v>44656</v>
      </c>
      <c r="H121" s="85" t="s">
        <v>214</v>
      </c>
      <c r="I121" s="58" t="s">
        <v>54</v>
      </c>
      <c r="J121" s="59">
        <v>1100</v>
      </c>
      <c r="K121" s="53">
        <f t="shared" si="5"/>
        <v>44000</v>
      </c>
      <c r="L121" s="54">
        <f>6+149</f>
        <v>155</v>
      </c>
      <c r="M121" s="81">
        <f t="shared" si="9"/>
        <v>-115</v>
      </c>
      <c r="N121" s="23">
        <f t="shared" si="6"/>
        <v>44000</v>
      </c>
      <c r="O121" s="23">
        <f t="shared" si="7"/>
        <v>170500</v>
      </c>
      <c r="P121" s="80">
        <f t="shared" si="8"/>
        <v>126500</v>
      </c>
    </row>
    <row r="122" spans="2:16" x14ac:dyDescent="0.3">
      <c r="B122" s="18">
        <v>115</v>
      </c>
      <c r="C122" s="56">
        <v>44121505</v>
      </c>
      <c r="D122" s="21" t="s">
        <v>215</v>
      </c>
      <c r="E122" s="49" t="s">
        <v>25</v>
      </c>
      <c r="F122" s="57" t="s">
        <v>36</v>
      </c>
      <c r="G122" s="57" t="s">
        <v>36</v>
      </c>
      <c r="H122" s="85" t="s">
        <v>216</v>
      </c>
      <c r="I122" s="58" t="s">
        <v>38</v>
      </c>
      <c r="J122" s="59">
        <v>927</v>
      </c>
      <c r="K122" s="53">
        <f t="shared" si="5"/>
        <v>29664</v>
      </c>
      <c r="L122" s="54">
        <v>33</v>
      </c>
      <c r="M122" s="81">
        <f t="shared" si="9"/>
        <v>-1</v>
      </c>
      <c r="N122" s="23">
        <f t="shared" si="6"/>
        <v>29664</v>
      </c>
      <c r="O122" s="23">
        <f t="shared" si="7"/>
        <v>30591</v>
      </c>
      <c r="P122" s="80">
        <f t="shared" si="8"/>
        <v>927</v>
      </c>
    </row>
    <row r="123" spans="2:16" x14ac:dyDescent="0.3">
      <c r="B123" s="49">
        <v>116</v>
      </c>
      <c r="C123" s="56">
        <v>44121505</v>
      </c>
      <c r="D123" s="21" t="s">
        <v>217</v>
      </c>
      <c r="E123" s="49" t="s">
        <v>25</v>
      </c>
      <c r="F123" s="57" t="s">
        <v>36</v>
      </c>
      <c r="G123" s="57" t="s">
        <v>36</v>
      </c>
      <c r="H123" s="85" t="s">
        <v>111</v>
      </c>
      <c r="I123" s="58" t="s">
        <v>38</v>
      </c>
      <c r="J123" s="59">
        <v>4484</v>
      </c>
      <c r="K123" s="53">
        <f t="shared" si="5"/>
        <v>17936</v>
      </c>
      <c r="L123" s="54">
        <v>5</v>
      </c>
      <c r="M123" s="81">
        <f t="shared" si="9"/>
        <v>-1</v>
      </c>
      <c r="N123" s="23">
        <f t="shared" si="6"/>
        <v>17936</v>
      </c>
      <c r="O123" s="23">
        <f t="shared" si="7"/>
        <v>22420</v>
      </c>
      <c r="P123" s="80">
        <f t="shared" si="8"/>
        <v>4484</v>
      </c>
    </row>
    <row r="124" spans="2:16" x14ac:dyDescent="0.3">
      <c r="B124" s="49">
        <v>117</v>
      </c>
      <c r="C124" s="56">
        <v>44121505</v>
      </c>
      <c r="D124" s="21" t="s">
        <v>218</v>
      </c>
      <c r="E124" s="49" t="s">
        <v>25</v>
      </c>
      <c r="F124" s="57" t="s">
        <v>36</v>
      </c>
      <c r="G124" s="57" t="s">
        <v>36</v>
      </c>
      <c r="H124" s="85" t="s">
        <v>111</v>
      </c>
      <c r="I124" s="58" t="s">
        <v>219</v>
      </c>
      <c r="J124" s="59">
        <v>3422</v>
      </c>
      <c r="K124" s="53">
        <f t="shared" si="5"/>
        <v>13688</v>
      </c>
      <c r="L124" s="54">
        <v>5</v>
      </c>
      <c r="M124" s="81">
        <f t="shared" si="9"/>
        <v>-1</v>
      </c>
      <c r="N124" s="23">
        <f t="shared" si="6"/>
        <v>13688</v>
      </c>
      <c r="O124" s="23">
        <f t="shared" si="7"/>
        <v>17110</v>
      </c>
      <c r="P124" s="80">
        <f t="shared" si="8"/>
        <v>3422</v>
      </c>
    </row>
    <row r="125" spans="2:16" x14ac:dyDescent="0.3">
      <c r="B125" s="18">
        <v>118</v>
      </c>
      <c r="C125" s="56">
        <v>44122016</v>
      </c>
      <c r="D125" s="21" t="s">
        <v>220</v>
      </c>
      <c r="E125" s="49" t="s">
        <v>25</v>
      </c>
      <c r="F125" s="57" t="s">
        <v>51</v>
      </c>
      <c r="G125" s="57" t="s">
        <v>51</v>
      </c>
      <c r="H125" s="85" t="s">
        <v>221</v>
      </c>
      <c r="I125" s="58" t="s">
        <v>28</v>
      </c>
      <c r="J125" s="59">
        <v>150</v>
      </c>
      <c r="K125" s="53">
        <f t="shared" si="5"/>
        <v>2400</v>
      </c>
      <c r="L125" s="54">
        <v>14</v>
      </c>
      <c r="M125" s="81">
        <f t="shared" si="9"/>
        <v>2</v>
      </c>
      <c r="N125" s="23">
        <f t="shared" si="6"/>
        <v>2400</v>
      </c>
      <c r="O125" s="23">
        <f t="shared" si="7"/>
        <v>2100</v>
      </c>
      <c r="P125" s="80">
        <f t="shared" si="8"/>
        <v>-300</v>
      </c>
    </row>
    <row r="126" spans="2:16" x14ac:dyDescent="0.3">
      <c r="B126" s="18">
        <v>119</v>
      </c>
      <c r="C126" s="56">
        <v>47131618</v>
      </c>
      <c r="D126" s="21" t="s">
        <v>222</v>
      </c>
      <c r="E126" s="49" t="s">
        <v>25</v>
      </c>
      <c r="F126" s="57" t="s">
        <v>26</v>
      </c>
      <c r="G126" s="57" t="s">
        <v>26</v>
      </c>
      <c r="H126" s="85" t="s">
        <v>78</v>
      </c>
      <c r="I126" s="58" t="s">
        <v>28</v>
      </c>
      <c r="J126" s="59">
        <v>175</v>
      </c>
      <c r="K126" s="53">
        <f t="shared" si="5"/>
        <v>3500</v>
      </c>
      <c r="L126" s="54">
        <f>68+41</f>
        <v>109</v>
      </c>
      <c r="M126" s="81">
        <f t="shared" si="9"/>
        <v>-89</v>
      </c>
      <c r="N126" s="23">
        <f t="shared" si="6"/>
        <v>3500</v>
      </c>
      <c r="O126" s="23">
        <f t="shared" si="7"/>
        <v>19075</v>
      </c>
      <c r="P126" s="80">
        <f t="shared" si="8"/>
        <v>15575</v>
      </c>
    </row>
    <row r="127" spans="2:16" x14ac:dyDescent="0.3">
      <c r="B127" s="49">
        <v>120</v>
      </c>
      <c r="C127" s="50">
        <v>52</v>
      </c>
      <c r="D127" s="20" t="s">
        <v>223</v>
      </c>
      <c r="E127" s="20"/>
      <c r="F127" s="51">
        <v>45149</v>
      </c>
      <c r="G127" s="61">
        <v>45171</v>
      </c>
      <c r="H127" s="84">
        <v>0</v>
      </c>
      <c r="I127" s="58" t="s">
        <v>28</v>
      </c>
      <c r="J127" s="76">
        <v>60.74</v>
      </c>
      <c r="K127" s="53">
        <f t="shared" si="5"/>
        <v>0</v>
      </c>
      <c r="L127" s="54">
        <v>96</v>
      </c>
      <c r="M127" s="81">
        <f t="shared" si="9"/>
        <v>-96</v>
      </c>
      <c r="N127" s="23">
        <f t="shared" si="6"/>
        <v>0</v>
      </c>
      <c r="O127" s="23">
        <f t="shared" si="7"/>
        <v>5831.04</v>
      </c>
      <c r="P127" s="80">
        <f t="shared" si="8"/>
        <v>5831.04</v>
      </c>
    </row>
    <row r="128" spans="2:16" x14ac:dyDescent="0.3">
      <c r="B128" s="49">
        <v>121</v>
      </c>
      <c r="C128" s="50">
        <v>53</v>
      </c>
      <c r="D128" s="20" t="s">
        <v>224</v>
      </c>
      <c r="E128" s="20"/>
      <c r="F128" s="51">
        <v>45149</v>
      </c>
      <c r="G128" s="52"/>
      <c r="H128" s="84">
        <v>0</v>
      </c>
      <c r="I128" s="58" t="s">
        <v>28</v>
      </c>
      <c r="J128" s="76">
        <v>141.74</v>
      </c>
      <c r="K128" s="53">
        <f t="shared" si="5"/>
        <v>0</v>
      </c>
      <c r="L128" s="54">
        <v>24</v>
      </c>
      <c r="M128" s="81">
        <f t="shared" si="9"/>
        <v>-24</v>
      </c>
      <c r="N128" s="23">
        <f t="shared" si="6"/>
        <v>0</v>
      </c>
      <c r="O128" s="23">
        <f t="shared" si="7"/>
        <v>3401.76</v>
      </c>
      <c r="P128" s="80">
        <f t="shared" si="8"/>
        <v>3401.76</v>
      </c>
    </row>
    <row r="129" spans="2:16" x14ac:dyDescent="0.3">
      <c r="B129" s="18">
        <v>122</v>
      </c>
      <c r="C129" s="50">
        <v>50201711</v>
      </c>
      <c r="D129" s="21" t="s">
        <v>225</v>
      </c>
      <c r="E129" s="49" t="s">
        <v>25</v>
      </c>
      <c r="F129" s="57" t="s">
        <v>30</v>
      </c>
      <c r="G129" s="57">
        <v>44656</v>
      </c>
      <c r="H129" s="85" t="s">
        <v>226</v>
      </c>
      <c r="I129" s="58" t="s">
        <v>33</v>
      </c>
      <c r="J129" s="59">
        <v>400</v>
      </c>
      <c r="K129" s="53">
        <f t="shared" si="5"/>
        <v>57600</v>
      </c>
      <c r="L129" s="54">
        <v>946</v>
      </c>
      <c r="M129" s="81">
        <f t="shared" si="9"/>
        <v>-802</v>
      </c>
      <c r="N129" s="23">
        <f t="shared" si="6"/>
        <v>57600</v>
      </c>
      <c r="O129" s="23">
        <f t="shared" si="7"/>
        <v>378400</v>
      </c>
      <c r="P129" s="80">
        <f t="shared" si="8"/>
        <v>320800</v>
      </c>
    </row>
    <row r="130" spans="2:16" x14ac:dyDescent="0.3">
      <c r="B130" s="18">
        <v>123</v>
      </c>
      <c r="C130" s="50">
        <v>54</v>
      </c>
      <c r="D130" s="20" t="s">
        <v>227</v>
      </c>
      <c r="E130" s="20"/>
      <c r="F130" s="51">
        <v>45149</v>
      </c>
      <c r="G130" s="61">
        <v>45171</v>
      </c>
      <c r="H130" s="84">
        <v>0</v>
      </c>
      <c r="I130" s="58" t="s">
        <v>28</v>
      </c>
      <c r="J130" s="76">
        <v>55.99</v>
      </c>
      <c r="K130" s="53">
        <f t="shared" si="5"/>
        <v>0</v>
      </c>
      <c r="L130" s="54">
        <v>45</v>
      </c>
      <c r="M130" s="81">
        <f t="shared" si="9"/>
        <v>-45</v>
      </c>
      <c r="N130" s="23">
        <f t="shared" si="6"/>
        <v>0</v>
      </c>
      <c r="O130" s="23">
        <f t="shared" si="7"/>
        <v>2519.5500000000002</v>
      </c>
      <c r="P130" s="80">
        <f t="shared" si="8"/>
        <v>2519.5500000000002</v>
      </c>
    </row>
    <row r="131" spans="2:16" x14ac:dyDescent="0.3">
      <c r="B131" s="49">
        <v>124</v>
      </c>
      <c r="C131" s="56">
        <v>47121702</v>
      </c>
      <c r="D131" s="21" t="s">
        <v>228</v>
      </c>
      <c r="E131" s="49" t="s">
        <v>25</v>
      </c>
      <c r="F131" s="57" t="s">
        <v>36</v>
      </c>
      <c r="G131" s="57" t="s">
        <v>36</v>
      </c>
      <c r="H131" s="85" t="s">
        <v>229</v>
      </c>
      <c r="I131" s="58" t="s">
        <v>28</v>
      </c>
      <c r="J131" s="59">
        <v>72</v>
      </c>
      <c r="K131" s="53">
        <f t="shared" si="5"/>
        <v>31608</v>
      </c>
      <c r="L131" s="54">
        <v>432</v>
      </c>
      <c r="M131" s="81">
        <f t="shared" si="9"/>
        <v>7</v>
      </c>
      <c r="N131" s="23">
        <f t="shared" si="6"/>
        <v>31608</v>
      </c>
      <c r="O131" s="23">
        <f t="shared" si="7"/>
        <v>31104</v>
      </c>
      <c r="P131" s="80">
        <f t="shared" si="8"/>
        <v>-504</v>
      </c>
    </row>
    <row r="132" spans="2:16" x14ac:dyDescent="0.3">
      <c r="B132" s="49">
        <v>125</v>
      </c>
      <c r="C132" s="50">
        <v>55</v>
      </c>
      <c r="D132" s="20" t="s">
        <v>230</v>
      </c>
      <c r="E132" s="20"/>
      <c r="F132" s="51">
        <v>45149</v>
      </c>
      <c r="G132" s="52"/>
      <c r="H132" s="84">
        <v>0</v>
      </c>
      <c r="I132" s="20" t="s">
        <v>231</v>
      </c>
      <c r="J132" s="75">
        <v>43.11</v>
      </c>
      <c r="K132" s="53">
        <f t="shared" si="5"/>
        <v>0</v>
      </c>
      <c r="L132" s="54">
        <v>150</v>
      </c>
      <c r="M132" s="81">
        <f t="shared" si="9"/>
        <v>-150</v>
      </c>
      <c r="N132" s="23">
        <f t="shared" si="6"/>
        <v>0</v>
      </c>
      <c r="O132" s="23">
        <f t="shared" si="7"/>
        <v>6466.5</v>
      </c>
      <c r="P132" s="80">
        <f t="shared" si="8"/>
        <v>6466.5</v>
      </c>
    </row>
    <row r="133" spans="2:16" x14ac:dyDescent="0.3">
      <c r="B133" s="18">
        <v>126</v>
      </c>
      <c r="C133" s="50">
        <v>44103103</v>
      </c>
      <c r="D133" s="21" t="s">
        <v>232</v>
      </c>
      <c r="E133" s="49" t="s">
        <v>25</v>
      </c>
      <c r="F133" s="57">
        <v>44386</v>
      </c>
      <c r="G133" s="57">
        <v>44386</v>
      </c>
      <c r="H133" s="85" t="s">
        <v>66</v>
      </c>
      <c r="I133" s="58" t="s">
        <v>28</v>
      </c>
      <c r="J133" s="59">
        <v>4940</v>
      </c>
      <c r="K133" s="53">
        <f t="shared" si="5"/>
        <v>24700</v>
      </c>
      <c r="L133" s="54">
        <v>5</v>
      </c>
      <c r="M133" s="81">
        <f t="shared" si="9"/>
        <v>0</v>
      </c>
      <c r="N133" s="23">
        <f t="shared" si="6"/>
        <v>24700</v>
      </c>
      <c r="O133" s="23">
        <f t="shared" si="7"/>
        <v>24700</v>
      </c>
      <c r="P133" s="80">
        <f t="shared" si="8"/>
        <v>0</v>
      </c>
    </row>
    <row r="134" spans="2:16" x14ac:dyDescent="0.3">
      <c r="B134" s="18">
        <v>127</v>
      </c>
      <c r="C134" s="50">
        <v>44103103</v>
      </c>
      <c r="D134" s="21" t="s">
        <v>233</v>
      </c>
      <c r="E134" s="49" t="s">
        <v>25</v>
      </c>
      <c r="F134" s="57">
        <v>44386</v>
      </c>
      <c r="G134" s="57">
        <v>44386</v>
      </c>
      <c r="H134" s="85" t="s">
        <v>69</v>
      </c>
      <c r="I134" s="58" t="s">
        <v>28</v>
      </c>
      <c r="J134" s="59">
        <v>4940</v>
      </c>
      <c r="K134" s="53">
        <f t="shared" si="5"/>
        <v>29640</v>
      </c>
      <c r="L134" s="54">
        <v>6</v>
      </c>
      <c r="M134" s="81">
        <f t="shared" si="9"/>
        <v>0</v>
      </c>
      <c r="N134" s="23">
        <f t="shared" si="6"/>
        <v>29640</v>
      </c>
      <c r="O134" s="23">
        <f t="shared" si="7"/>
        <v>29640</v>
      </c>
      <c r="P134" s="80">
        <f t="shared" si="8"/>
        <v>0</v>
      </c>
    </row>
    <row r="135" spans="2:16" x14ac:dyDescent="0.3">
      <c r="B135" s="49">
        <v>128</v>
      </c>
      <c r="C135" s="50">
        <v>44103103</v>
      </c>
      <c r="D135" s="21" t="s">
        <v>234</v>
      </c>
      <c r="E135" s="49" t="s">
        <v>25</v>
      </c>
      <c r="F135" s="57">
        <v>44497</v>
      </c>
      <c r="G135" s="57">
        <v>44497</v>
      </c>
      <c r="H135" s="85" t="s">
        <v>111</v>
      </c>
      <c r="I135" s="58" t="s">
        <v>28</v>
      </c>
      <c r="J135" s="59">
        <v>4940</v>
      </c>
      <c r="K135" s="53">
        <f t="shared" ref="K135:K175" si="10">+H135*J135</f>
        <v>19760</v>
      </c>
      <c r="L135" s="54">
        <v>4</v>
      </c>
      <c r="M135" s="81">
        <f t="shared" si="9"/>
        <v>0</v>
      </c>
      <c r="N135" s="23">
        <f t="shared" ref="N135:N176" si="11">+H135*J135</f>
        <v>19760</v>
      </c>
      <c r="O135" s="23">
        <f t="shared" ref="O135:O176" si="12">+L135*J135</f>
        <v>19760</v>
      </c>
      <c r="P135" s="80">
        <f t="shared" ref="P135:P178" si="13">+O135-N135</f>
        <v>0</v>
      </c>
    </row>
    <row r="136" spans="2:16" x14ac:dyDescent="0.3">
      <c r="B136" s="49">
        <v>129</v>
      </c>
      <c r="C136" s="50">
        <v>44103103</v>
      </c>
      <c r="D136" s="21" t="s">
        <v>235</v>
      </c>
      <c r="E136" s="49" t="s">
        <v>25</v>
      </c>
      <c r="F136" s="57">
        <v>44386</v>
      </c>
      <c r="G136" s="57">
        <v>44386</v>
      </c>
      <c r="H136" s="85" t="s">
        <v>69</v>
      </c>
      <c r="I136" s="58" t="s">
        <v>28</v>
      </c>
      <c r="J136" s="59">
        <v>4940</v>
      </c>
      <c r="K136" s="53">
        <f t="shared" si="10"/>
        <v>29640</v>
      </c>
      <c r="L136" s="54">
        <v>6</v>
      </c>
      <c r="M136" s="81">
        <f t="shared" ref="M136:M175" si="14">+H136-L136</f>
        <v>0</v>
      </c>
      <c r="N136" s="23">
        <f t="shared" si="11"/>
        <v>29640</v>
      </c>
      <c r="O136" s="23">
        <f t="shared" si="12"/>
        <v>29640</v>
      </c>
      <c r="P136" s="80">
        <f t="shared" si="13"/>
        <v>0</v>
      </c>
    </row>
    <row r="137" spans="2:16" x14ac:dyDescent="0.3">
      <c r="B137" s="18">
        <v>130</v>
      </c>
      <c r="C137" s="50">
        <v>44103103</v>
      </c>
      <c r="D137" s="21" t="s">
        <v>236</v>
      </c>
      <c r="E137" s="49" t="s">
        <v>25</v>
      </c>
      <c r="F137" s="57">
        <v>44497</v>
      </c>
      <c r="G137" s="57">
        <v>44497</v>
      </c>
      <c r="H137" s="85" t="s">
        <v>90</v>
      </c>
      <c r="I137" s="58" t="s">
        <v>28</v>
      </c>
      <c r="J137" s="59">
        <v>4602</v>
      </c>
      <c r="K137" s="53">
        <f t="shared" si="10"/>
        <v>41418</v>
      </c>
      <c r="L137" s="54">
        <v>7</v>
      </c>
      <c r="M137" s="81">
        <f t="shared" si="14"/>
        <v>2</v>
      </c>
      <c r="N137" s="23">
        <f t="shared" si="11"/>
        <v>41418</v>
      </c>
      <c r="O137" s="23">
        <f t="shared" si="12"/>
        <v>32214</v>
      </c>
      <c r="P137" s="80">
        <f t="shared" si="13"/>
        <v>-9204</v>
      </c>
    </row>
    <row r="138" spans="2:16" x14ac:dyDescent="0.3">
      <c r="B138" s="18">
        <v>131</v>
      </c>
      <c r="C138" s="50">
        <v>44103103</v>
      </c>
      <c r="D138" s="21" t="s">
        <v>237</v>
      </c>
      <c r="E138" s="49" t="s">
        <v>25</v>
      </c>
      <c r="F138" s="57">
        <v>44497</v>
      </c>
      <c r="G138" s="57">
        <v>44497</v>
      </c>
      <c r="H138" s="85" t="s">
        <v>84</v>
      </c>
      <c r="I138" s="58" t="s">
        <v>28</v>
      </c>
      <c r="J138" s="59">
        <v>4602</v>
      </c>
      <c r="K138" s="53">
        <f t="shared" si="10"/>
        <v>50622</v>
      </c>
      <c r="L138" s="54">
        <v>8</v>
      </c>
      <c r="M138" s="81">
        <f t="shared" si="14"/>
        <v>3</v>
      </c>
      <c r="N138" s="23">
        <f t="shared" si="11"/>
        <v>50622</v>
      </c>
      <c r="O138" s="23">
        <f t="shared" si="12"/>
        <v>36816</v>
      </c>
      <c r="P138" s="80">
        <f t="shared" si="13"/>
        <v>-13806</v>
      </c>
    </row>
    <row r="139" spans="2:16" x14ac:dyDescent="0.3">
      <c r="B139" s="49">
        <v>132</v>
      </c>
      <c r="C139" s="50">
        <v>44103103</v>
      </c>
      <c r="D139" s="21" t="s">
        <v>238</v>
      </c>
      <c r="E139" s="49" t="s">
        <v>25</v>
      </c>
      <c r="F139" s="57">
        <v>44405</v>
      </c>
      <c r="G139" s="57">
        <v>44405</v>
      </c>
      <c r="H139" s="85" t="s">
        <v>239</v>
      </c>
      <c r="I139" s="58" t="s">
        <v>28</v>
      </c>
      <c r="J139" s="59">
        <v>8298</v>
      </c>
      <c r="K139" s="53">
        <f t="shared" si="10"/>
        <v>99576</v>
      </c>
      <c r="L139" s="54">
        <v>8</v>
      </c>
      <c r="M139" s="81">
        <f t="shared" si="14"/>
        <v>4</v>
      </c>
      <c r="N139" s="23">
        <f t="shared" si="11"/>
        <v>99576</v>
      </c>
      <c r="O139" s="23">
        <f t="shared" si="12"/>
        <v>66384</v>
      </c>
      <c r="P139" s="80">
        <f t="shared" si="13"/>
        <v>-33192</v>
      </c>
    </row>
    <row r="140" spans="2:16" x14ac:dyDescent="0.3">
      <c r="B140" s="49">
        <v>133</v>
      </c>
      <c r="C140" s="50">
        <v>44103103</v>
      </c>
      <c r="D140" s="21" t="s">
        <v>240</v>
      </c>
      <c r="E140" s="49" t="s">
        <v>25</v>
      </c>
      <c r="F140" s="57">
        <v>44497</v>
      </c>
      <c r="G140" s="57">
        <v>44497</v>
      </c>
      <c r="H140" s="85" t="s">
        <v>84</v>
      </c>
      <c r="I140" s="58" t="s">
        <v>28</v>
      </c>
      <c r="J140" s="59">
        <v>8415</v>
      </c>
      <c r="K140" s="53">
        <f t="shared" si="10"/>
        <v>92565</v>
      </c>
      <c r="L140" s="54">
        <v>5</v>
      </c>
      <c r="M140" s="81">
        <f t="shared" si="14"/>
        <v>6</v>
      </c>
      <c r="N140" s="23">
        <f t="shared" si="11"/>
        <v>92565</v>
      </c>
      <c r="O140" s="23">
        <f t="shared" si="12"/>
        <v>42075</v>
      </c>
      <c r="P140" s="80">
        <f t="shared" si="13"/>
        <v>-50490</v>
      </c>
    </row>
    <row r="141" spans="2:16" x14ac:dyDescent="0.3">
      <c r="B141" s="18">
        <v>134</v>
      </c>
      <c r="C141" s="50">
        <v>44103103</v>
      </c>
      <c r="D141" s="21" t="s">
        <v>241</v>
      </c>
      <c r="E141" s="49" t="s">
        <v>25</v>
      </c>
      <c r="F141" s="57">
        <v>44431</v>
      </c>
      <c r="G141" s="57">
        <v>44431</v>
      </c>
      <c r="H141" s="85" t="s">
        <v>239</v>
      </c>
      <c r="I141" s="58" t="s">
        <v>28</v>
      </c>
      <c r="J141" s="59">
        <v>9607.56</v>
      </c>
      <c r="K141" s="53">
        <f t="shared" si="10"/>
        <v>115290.72</v>
      </c>
      <c r="L141" s="54">
        <v>13</v>
      </c>
      <c r="M141" s="81">
        <f t="shared" si="14"/>
        <v>-1</v>
      </c>
      <c r="N141" s="23">
        <f t="shared" si="11"/>
        <v>115290.72</v>
      </c>
      <c r="O141" s="23">
        <f t="shared" si="12"/>
        <v>124898.28</v>
      </c>
      <c r="P141" s="80">
        <f t="shared" si="13"/>
        <v>9607.5599999999977</v>
      </c>
    </row>
    <row r="142" spans="2:16" x14ac:dyDescent="0.3">
      <c r="B142" s="18">
        <v>135</v>
      </c>
      <c r="C142" s="50">
        <v>44103103</v>
      </c>
      <c r="D142" s="21" t="s">
        <v>242</v>
      </c>
      <c r="E142" s="49" t="s">
        <v>25</v>
      </c>
      <c r="F142" s="57">
        <v>44497</v>
      </c>
      <c r="G142" s="57">
        <v>44497</v>
      </c>
      <c r="H142" s="85" t="s">
        <v>239</v>
      </c>
      <c r="I142" s="58" t="s">
        <v>28</v>
      </c>
      <c r="J142" s="59">
        <v>8155.56</v>
      </c>
      <c r="K142" s="53">
        <f t="shared" si="10"/>
        <v>97866.72</v>
      </c>
      <c r="L142" s="54">
        <v>11</v>
      </c>
      <c r="M142" s="81">
        <f t="shared" si="14"/>
        <v>1</v>
      </c>
      <c r="N142" s="23">
        <f t="shared" si="11"/>
        <v>97866.72</v>
      </c>
      <c r="O142" s="23">
        <f t="shared" si="12"/>
        <v>89711.16</v>
      </c>
      <c r="P142" s="80">
        <f t="shared" si="13"/>
        <v>-8155.5599999999977</v>
      </c>
    </row>
    <row r="143" spans="2:16" x14ac:dyDescent="0.3">
      <c r="B143" s="49">
        <v>136</v>
      </c>
      <c r="C143" s="50">
        <v>44103103</v>
      </c>
      <c r="D143" s="21" t="s">
        <v>243</v>
      </c>
      <c r="E143" s="49" t="s">
        <v>25</v>
      </c>
      <c r="F143" s="57">
        <v>44497</v>
      </c>
      <c r="G143" s="57">
        <v>44497</v>
      </c>
      <c r="H143" s="85" t="s">
        <v>239</v>
      </c>
      <c r="I143" s="58" t="s">
        <v>28</v>
      </c>
      <c r="J143" s="59">
        <v>8155.56</v>
      </c>
      <c r="K143" s="53">
        <f t="shared" si="10"/>
        <v>97866.72</v>
      </c>
      <c r="L143" s="54">
        <v>12</v>
      </c>
      <c r="M143" s="81">
        <f t="shared" si="14"/>
        <v>0</v>
      </c>
      <c r="N143" s="23">
        <f t="shared" si="11"/>
        <v>97866.72</v>
      </c>
      <c r="O143" s="23">
        <f t="shared" si="12"/>
        <v>97866.72</v>
      </c>
      <c r="P143" s="80">
        <f t="shared" si="13"/>
        <v>0</v>
      </c>
    </row>
    <row r="144" spans="2:16" x14ac:dyDescent="0.3">
      <c r="B144" s="49">
        <v>137</v>
      </c>
      <c r="C144" s="50">
        <v>44103103</v>
      </c>
      <c r="D144" s="21" t="s">
        <v>244</v>
      </c>
      <c r="E144" s="49" t="s">
        <v>25</v>
      </c>
      <c r="F144" s="57">
        <v>44431</v>
      </c>
      <c r="G144" s="57">
        <v>44431</v>
      </c>
      <c r="H144" s="85" t="s">
        <v>239</v>
      </c>
      <c r="I144" s="58" t="s">
        <v>28</v>
      </c>
      <c r="J144" s="59">
        <v>12450</v>
      </c>
      <c r="K144" s="53">
        <f t="shared" si="10"/>
        <v>149400</v>
      </c>
      <c r="L144" s="54">
        <v>12</v>
      </c>
      <c r="M144" s="81">
        <f t="shared" si="14"/>
        <v>0</v>
      </c>
      <c r="N144" s="23">
        <f t="shared" si="11"/>
        <v>149400</v>
      </c>
      <c r="O144" s="23">
        <f t="shared" si="12"/>
        <v>149400</v>
      </c>
      <c r="P144" s="80">
        <f t="shared" si="13"/>
        <v>0</v>
      </c>
    </row>
    <row r="145" spans="2:16" x14ac:dyDescent="0.3">
      <c r="B145" s="18">
        <v>138</v>
      </c>
      <c r="C145" s="50">
        <v>44103103</v>
      </c>
      <c r="D145" s="21" t="s">
        <v>245</v>
      </c>
      <c r="E145" s="49" t="s">
        <v>25</v>
      </c>
      <c r="F145" s="57">
        <v>44410</v>
      </c>
      <c r="G145" s="57">
        <v>44431</v>
      </c>
      <c r="H145" s="85" t="s">
        <v>120</v>
      </c>
      <c r="I145" s="58" t="s">
        <v>28</v>
      </c>
      <c r="J145" s="59">
        <v>15135</v>
      </c>
      <c r="K145" s="53">
        <f t="shared" si="10"/>
        <v>151350</v>
      </c>
      <c r="L145" s="54">
        <v>3</v>
      </c>
      <c r="M145" s="81">
        <f t="shared" si="14"/>
        <v>7</v>
      </c>
      <c r="N145" s="23">
        <f t="shared" si="11"/>
        <v>151350</v>
      </c>
      <c r="O145" s="23">
        <f t="shared" si="12"/>
        <v>45405</v>
      </c>
      <c r="P145" s="80">
        <f t="shared" si="13"/>
        <v>-105945</v>
      </c>
    </row>
    <row r="146" spans="2:16" x14ac:dyDescent="0.3">
      <c r="B146" s="18">
        <v>139</v>
      </c>
      <c r="C146" s="50">
        <v>44103103</v>
      </c>
      <c r="D146" s="21" t="s">
        <v>246</v>
      </c>
      <c r="E146" s="49" t="s">
        <v>25</v>
      </c>
      <c r="F146" s="57">
        <v>44410</v>
      </c>
      <c r="G146" s="57">
        <v>44410</v>
      </c>
      <c r="H146" s="85" t="s">
        <v>90</v>
      </c>
      <c r="I146" s="58" t="s">
        <v>28</v>
      </c>
      <c r="J146" s="59">
        <v>7424</v>
      </c>
      <c r="K146" s="53">
        <f t="shared" si="10"/>
        <v>66816</v>
      </c>
      <c r="L146" s="54">
        <v>11</v>
      </c>
      <c r="M146" s="81">
        <f t="shared" si="14"/>
        <v>-2</v>
      </c>
      <c r="N146" s="23">
        <f t="shared" si="11"/>
        <v>66816</v>
      </c>
      <c r="O146" s="23">
        <f t="shared" si="12"/>
        <v>81664</v>
      </c>
      <c r="P146" s="80">
        <f t="shared" si="13"/>
        <v>14848</v>
      </c>
    </row>
    <row r="147" spans="2:16" x14ac:dyDescent="0.3">
      <c r="B147" s="49">
        <v>140</v>
      </c>
      <c r="C147" s="50">
        <v>44103103</v>
      </c>
      <c r="D147" s="21" t="s">
        <v>247</v>
      </c>
      <c r="E147" s="49" t="s">
        <v>25</v>
      </c>
      <c r="F147" s="57">
        <v>44410</v>
      </c>
      <c r="G147" s="57">
        <v>44410</v>
      </c>
      <c r="H147" s="85" t="s">
        <v>248</v>
      </c>
      <c r="I147" s="58" t="s">
        <v>28</v>
      </c>
      <c r="J147" s="59">
        <v>6047.5</v>
      </c>
      <c r="K147" s="53">
        <f t="shared" si="10"/>
        <v>48380</v>
      </c>
      <c r="L147" s="54">
        <v>4</v>
      </c>
      <c r="M147" s="81">
        <f t="shared" si="14"/>
        <v>4</v>
      </c>
      <c r="N147" s="23">
        <f t="shared" si="11"/>
        <v>48380</v>
      </c>
      <c r="O147" s="23">
        <f t="shared" si="12"/>
        <v>24190</v>
      </c>
      <c r="P147" s="80">
        <f t="shared" si="13"/>
        <v>-24190</v>
      </c>
    </row>
    <row r="148" spans="2:16" x14ac:dyDescent="0.3">
      <c r="B148" s="49">
        <v>141</v>
      </c>
      <c r="C148" s="50">
        <v>44103103</v>
      </c>
      <c r="D148" s="21" t="s">
        <v>249</v>
      </c>
      <c r="E148" s="49" t="s">
        <v>25</v>
      </c>
      <c r="F148" s="57">
        <v>44431</v>
      </c>
      <c r="G148" s="57">
        <v>44431</v>
      </c>
      <c r="H148" s="85" t="s">
        <v>100</v>
      </c>
      <c r="I148" s="58" t="s">
        <v>28</v>
      </c>
      <c r="J148" s="59">
        <v>7425</v>
      </c>
      <c r="K148" s="53">
        <f t="shared" si="10"/>
        <v>51975</v>
      </c>
      <c r="L148" s="54">
        <v>10</v>
      </c>
      <c r="M148" s="81">
        <f t="shared" si="14"/>
        <v>-3</v>
      </c>
      <c r="N148" s="23">
        <f t="shared" si="11"/>
        <v>51975</v>
      </c>
      <c r="O148" s="23">
        <f t="shared" si="12"/>
        <v>74250</v>
      </c>
      <c r="P148" s="80">
        <f t="shared" si="13"/>
        <v>22275</v>
      </c>
    </row>
    <row r="149" spans="2:16" x14ac:dyDescent="0.3">
      <c r="B149" s="18">
        <v>142</v>
      </c>
      <c r="C149" s="50">
        <v>44103103</v>
      </c>
      <c r="D149" s="21" t="s">
        <v>250</v>
      </c>
      <c r="E149" s="49" t="s">
        <v>25</v>
      </c>
      <c r="F149" s="57">
        <v>44497</v>
      </c>
      <c r="G149" s="57">
        <v>44497</v>
      </c>
      <c r="H149" s="85" t="s">
        <v>248</v>
      </c>
      <c r="I149" s="58" t="s">
        <v>28</v>
      </c>
      <c r="J149" s="59">
        <v>5838</v>
      </c>
      <c r="K149" s="53">
        <f t="shared" si="10"/>
        <v>46704</v>
      </c>
      <c r="L149" s="54">
        <v>8</v>
      </c>
      <c r="M149" s="81">
        <f t="shared" si="14"/>
        <v>0</v>
      </c>
      <c r="N149" s="23">
        <f t="shared" si="11"/>
        <v>46704</v>
      </c>
      <c r="O149" s="23">
        <f t="shared" si="12"/>
        <v>46704</v>
      </c>
      <c r="P149" s="80">
        <f t="shared" si="13"/>
        <v>0</v>
      </c>
    </row>
    <row r="150" spans="2:16" x14ac:dyDescent="0.3">
      <c r="B150" s="18">
        <v>143</v>
      </c>
      <c r="C150" s="50">
        <v>44103103</v>
      </c>
      <c r="D150" s="21" t="s">
        <v>251</v>
      </c>
      <c r="E150" s="49" t="s">
        <v>25</v>
      </c>
      <c r="F150" s="57">
        <v>44497</v>
      </c>
      <c r="G150" s="57">
        <v>44477</v>
      </c>
      <c r="H150" s="85" t="s">
        <v>84</v>
      </c>
      <c r="I150" s="58" t="s">
        <v>28</v>
      </c>
      <c r="J150" s="59">
        <v>6756</v>
      </c>
      <c r="K150" s="53">
        <f t="shared" si="10"/>
        <v>74316</v>
      </c>
      <c r="L150" s="54">
        <v>12</v>
      </c>
      <c r="M150" s="81">
        <f t="shared" si="14"/>
        <v>-1</v>
      </c>
      <c r="N150" s="23">
        <f t="shared" si="11"/>
        <v>74316</v>
      </c>
      <c r="O150" s="23">
        <f t="shared" si="12"/>
        <v>81072</v>
      </c>
      <c r="P150" s="80">
        <f t="shared" si="13"/>
        <v>6756</v>
      </c>
    </row>
    <row r="151" spans="2:16" x14ac:dyDescent="0.3">
      <c r="B151" s="49">
        <v>144</v>
      </c>
      <c r="C151" s="50">
        <v>44103103</v>
      </c>
      <c r="D151" s="21" t="s">
        <v>252</v>
      </c>
      <c r="E151" s="49" t="s">
        <v>25</v>
      </c>
      <c r="F151" s="57">
        <v>44497</v>
      </c>
      <c r="G151" s="57">
        <v>44497</v>
      </c>
      <c r="H151" s="85" t="s">
        <v>239</v>
      </c>
      <c r="I151" s="58" t="s">
        <v>28</v>
      </c>
      <c r="J151" s="59">
        <v>6756</v>
      </c>
      <c r="K151" s="53">
        <f t="shared" si="10"/>
        <v>81072</v>
      </c>
      <c r="L151" s="54">
        <v>13</v>
      </c>
      <c r="M151" s="81">
        <f t="shared" si="14"/>
        <v>-1</v>
      </c>
      <c r="N151" s="23">
        <f t="shared" si="11"/>
        <v>81072</v>
      </c>
      <c r="O151" s="23">
        <f t="shared" si="12"/>
        <v>87828</v>
      </c>
      <c r="P151" s="80">
        <f t="shared" si="13"/>
        <v>6756</v>
      </c>
    </row>
    <row r="152" spans="2:16" x14ac:dyDescent="0.3">
      <c r="B152" s="49">
        <v>145</v>
      </c>
      <c r="C152" s="50">
        <v>44103103</v>
      </c>
      <c r="D152" s="21" t="s">
        <v>253</v>
      </c>
      <c r="E152" s="49" t="s">
        <v>25</v>
      </c>
      <c r="F152" s="57">
        <v>44497</v>
      </c>
      <c r="G152" s="57">
        <v>44497</v>
      </c>
      <c r="H152" s="85" t="s">
        <v>84</v>
      </c>
      <c r="I152" s="58" t="s">
        <v>28</v>
      </c>
      <c r="J152" s="59">
        <v>5320</v>
      </c>
      <c r="K152" s="53">
        <f t="shared" si="10"/>
        <v>58520</v>
      </c>
      <c r="L152" s="54">
        <v>14</v>
      </c>
      <c r="M152" s="81">
        <f t="shared" si="14"/>
        <v>-3</v>
      </c>
      <c r="N152" s="23">
        <f t="shared" si="11"/>
        <v>58520</v>
      </c>
      <c r="O152" s="23">
        <f t="shared" si="12"/>
        <v>74480</v>
      </c>
      <c r="P152" s="80">
        <f t="shared" si="13"/>
        <v>15960</v>
      </c>
    </row>
    <row r="153" spans="2:16" x14ac:dyDescent="0.3">
      <c r="B153" s="18">
        <v>146</v>
      </c>
      <c r="C153" s="50">
        <v>44103103</v>
      </c>
      <c r="D153" s="21" t="s">
        <v>254</v>
      </c>
      <c r="E153" s="49" t="s">
        <v>25</v>
      </c>
      <c r="F153" s="57">
        <v>44431</v>
      </c>
      <c r="G153" s="57">
        <v>44431</v>
      </c>
      <c r="H153" s="85" t="s">
        <v>248</v>
      </c>
      <c r="I153" s="58" t="s">
        <v>28</v>
      </c>
      <c r="J153" s="59">
        <v>3127</v>
      </c>
      <c r="K153" s="53">
        <f t="shared" si="10"/>
        <v>25016</v>
      </c>
      <c r="L153" s="54">
        <v>5</v>
      </c>
      <c r="M153" s="81">
        <f t="shared" si="14"/>
        <v>3</v>
      </c>
      <c r="N153" s="23">
        <f t="shared" si="11"/>
        <v>25016</v>
      </c>
      <c r="O153" s="23">
        <f t="shared" si="12"/>
        <v>15635</v>
      </c>
      <c r="P153" s="80">
        <f t="shared" si="13"/>
        <v>-9381</v>
      </c>
    </row>
    <row r="154" spans="2:16" x14ac:dyDescent="0.3">
      <c r="B154" s="18">
        <v>147</v>
      </c>
      <c r="C154" s="50">
        <v>44103103</v>
      </c>
      <c r="D154" s="21" t="s">
        <v>255</v>
      </c>
      <c r="E154" s="49" t="s">
        <v>25</v>
      </c>
      <c r="F154" s="57">
        <v>44497</v>
      </c>
      <c r="G154" s="57">
        <v>44497</v>
      </c>
      <c r="H154" s="85" t="s">
        <v>239</v>
      </c>
      <c r="I154" s="58" t="s">
        <v>28</v>
      </c>
      <c r="J154" s="59">
        <v>6987</v>
      </c>
      <c r="K154" s="53">
        <f t="shared" si="10"/>
        <v>83844</v>
      </c>
      <c r="L154" s="54">
        <v>13</v>
      </c>
      <c r="M154" s="81">
        <f t="shared" si="14"/>
        <v>-1</v>
      </c>
      <c r="N154" s="23">
        <f t="shared" si="11"/>
        <v>83844</v>
      </c>
      <c r="O154" s="23">
        <f t="shared" si="12"/>
        <v>90831</v>
      </c>
      <c r="P154" s="80">
        <f t="shared" si="13"/>
        <v>6987</v>
      </c>
    </row>
    <row r="155" spans="2:16" x14ac:dyDescent="0.3">
      <c r="B155" s="49">
        <v>148</v>
      </c>
      <c r="C155" s="50">
        <v>44103103</v>
      </c>
      <c r="D155" s="21" t="s">
        <v>256</v>
      </c>
      <c r="E155" s="49" t="s">
        <v>25</v>
      </c>
      <c r="F155" s="57">
        <v>44497</v>
      </c>
      <c r="G155" s="57">
        <v>44498</v>
      </c>
      <c r="H155" s="85" t="s">
        <v>239</v>
      </c>
      <c r="I155" s="58" t="s">
        <v>28</v>
      </c>
      <c r="J155" s="59">
        <v>15133</v>
      </c>
      <c r="K155" s="53">
        <f t="shared" si="10"/>
        <v>181596</v>
      </c>
      <c r="L155" s="54">
        <v>12</v>
      </c>
      <c r="M155" s="81">
        <f t="shared" si="14"/>
        <v>0</v>
      </c>
      <c r="N155" s="23">
        <f t="shared" si="11"/>
        <v>181596</v>
      </c>
      <c r="O155" s="23">
        <f t="shared" si="12"/>
        <v>181596</v>
      </c>
      <c r="P155" s="80">
        <f t="shared" si="13"/>
        <v>0</v>
      </c>
    </row>
    <row r="156" spans="2:16" x14ac:dyDescent="0.3">
      <c r="B156" s="49">
        <v>149</v>
      </c>
      <c r="C156" s="50">
        <v>44103103</v>
      </c>
      <c r="D156" s="21" t="s">
        <v>257</v>
      </c>
      <c r="E156" s="49" t="s">
        <v>25</v>
      </c>
      <c r="F156" s="57">
        <v>44497</v>
      </c>
      <c r="G156" s="57">
        <v>44497</v>
      </c>
      <c r="H156" s="85" t="s">
        <v>239</v>
      </c>
      <c r="I156" s="58" t="s">
        <v>28</v>
      </c>
      <c r="J156" s="59">
        <v>15133</v>
      </c>
      <c r="K156" s="53">
        <f t="shared" si="10"/>
        <v>181596</v>
      </c>
      <c r="L156" s="54">
        <v>11</v>
      </c>
      <c r="M156" s="81">
        <f t="shared" si="14"/>
        <v>1</v>
      </c>
      <c r="N156" s="23">
        <f t="shared" si="11"/>
        <v>181596</v>
      </c>
      <c r="O156" s="23">
        <f t="shared" si="12"/>
        <v>166463</v>
      </c>
      <c r="P156" s="80">
        <f t="shared" si="13"/>
        <v>-15133</v>
      </c>
    </row>
    <row r="157" spans="2:16" x14ac:dyDescent="0.3">
      <c r="B157" s="18">
        <v>150</v>
      </c>
      <c r="C157" s="50">
        <v>44103103</v>
      </c>
      <c r="D157" s="21" t="s">
        <v>258</v>
      </c>
      <c r="E157" s="49" t="s">
        <v>25</v>
      </c>
      <c r="F157" s="57">
        <v>44498</v>
      </c>
      <c r="G157" s="57">
        <v>44497</v>
      </c>
      <c r="H157" s="85" t="s">
        <v>239</v>
      </c>
      <c r="I157" s="58" t="s">
        <v>28</v>
      </c>
      <c r="J157" s="59">
        <v>15133</v>
      </c>
      <c r="K157" s="53">
        <f t="shared" si="10"/>
        <v>181596</v>
      </c>
      <c r="L157" s="54">
        <v>12</v>
      </c>
      <c r="M157" s="81">
        <f t="shared" si="14"/>
        <v>0</v>
      </c>
      <c r="N157" s="23">
        <f t="shared" si="11"/>
        <v>181596</v>
      </c>
      <c r="O157" s="23">
        <f t="shared" si="12"/>
        <v>181596</v>
      </c>
      <c r="P157" s="80">
        <f t="shared" si="13"/>
        <v>0</v>
      </c>
    </row>
    <row r="158" spans="2:16" x14ac:dyDescent="0.3">
      <c r="B158" s="18">
        <v>151</v>
      </c>
      <c r="C158" s="50">
        <v>44103103</v>
      </c>
      <c r="D158" s="21" t="s">
        <v>259</v>
      </c>
      <c r="E158" s="49" t="s">
        <v>25</v>
      </c>
      <c r="F158" s="57">
        <v>44410</v>
      </c>
      <c r="G158" s="57">
        <v>44410</v>
      </c>
      <c r="H158" s="85" t="s">
        <v>239</v>
      </c>
      <c r="I158" s="58" t="s">
        <v>28</v>
      </c>
      <c r="J158" s="59">
        <v>10000</v>
      </c>
      <c r="K158" s="53">
        <f t="shared" si="10"/>
        <v>120000</v>
      </c>
      <c r="L158" s="54">
        <v>11</v>
      </c>
      <c r="M158" s="81">
        <f t="shared" si="14"/>
        <v>1</v>
      </c>
      <c r="N158" s="23">
        <f t="shared" si="11"/>
        <v>120000</v>
      </c>
      <c r="O158" s="23">
        <f t="shared" si="12"/>
        <v>110000</v>
      </c>
      <c r="P158" s="80">
        <f t="shared" si="13"/>
        <v>-10000</v>
      </c>
    </row>
    <row r="159" spans="2:16" x14ac:dyDescent="0.3">
      <c r="B159" s="49">
        <v>152</v>
      </c>
      <c r="C159" s="50">
        <v>44103103</v>
      </c>
      <c r="D159" s="21" t="s">
        <v>260</v>
      </c>
      <c r="E159" s="49" t="s">
        <v>25</v>
      </c>
      <c r="F159" s="57">
        <v>44497</v>
      </c>
      <c r="G159" s="57">
        <v>44497</v>
      </c>
      <c r="H159" s="85" t="s">
        <v>239</v>
      </c>
      <c r="I159" s="58" t="s">
        <v>28</v>
      </c>
      <c r="J159" s="59">
        <v>6461</v>
      </c>
      <c r="K159" s="53">
        <f t="shared" si="10"/>
        <v>77532</v>
      </c>
      <c r="L159" s="54">
        <v>16</v>
      </c>
      <c r="M159" s="81">
        <f t="shared" si="14"/>
        <v>-4</v>
      </c>
      <c r="N159" s="23">
        <f t="shared" si="11"/>
        <v>77532</v>
      </c>
      <c r="O159" s="23">
        <f t="shared" si="12"/>
        <v>103376</v>
      </c>
      <c r="P159" s="80">
        <f t="shared" si="13"/>
        <v>25844</v>
      </c>
    </row>
    <row r="160" spans="2:16" x14ac:dyDescent="0.3">
      <c r="B160" s="49">
        <v>153</v>
      </c>
      <c r="C160" s="50">
        <v>44103103</v>
      </c>
      <c r="D160" s="21" t="s">
        <v>261</v>
      </c>
      <c r="E160" s="49" t="s">
        <v>25</v>
      </c>
      <c r="F160" s="57">
        <v>44386</v>
      </c>
      <c r="G160" s="57">
        <v>44386</v>
      </c>
      <c r="H160" s="85" t="s">
        <v>262</v>
      </c>
      <c r="I160" s="58" t="s">
        <v>28</v>
      </c>
      <c r="J160" s="59">
        <v>9846</v>
      </c>
      <c r="K160" s="53">
        <f t="shared" si="10"/>
        <v>29538</v>
      </c>
      <c r="L160" s="54">
        <v>1</v>
      </c>
      <c r="M160" s="81">
        <f t="shared" si="14"/>
        <v>2</v>
      </c>
      <c r="N160" s="23">
        <f t="shared" si="11"/>
        <v>29538</v>
      </c>
      <c r="O160" s="23">
        <f t="shared" si="12"/>
        <v>9846</v>
      </c>
      <c r="P160" s="80">
        <f t="shared" si="13"/>
        <v>-19692</v>
      </c>
    </row>
    <row r="161" spans="2:16" x14ac:dyDescent="0.3">
      <c r="B161" s="18">
        <v>154</v>
      </c>
      <c r="C161" s="50">
        <v>44103103</v>
      </c>
      <c r="D161" s="21" t="s">
        <v>263</v>
      </c>
      <c r="E161" s="49" t="s">
        <v>25</v>
      </c>
      <c r="F161" s="57">
        <v>44497</v>
      </c>
      <c r="G161" s="57">
        <v>44497</v>
      </c>
      <c r="H161" s="85" t="s">
        <v>239</v>
      </c>
      <c r="I161" s="58" t="s">
        <v>28</v>
      </c>
      <c r="J161" s="59">
        <v>21107</v>
      </c>
      <c r="K161" s="53">
        <f t="shared" si="10"/>
        <v>253284</v>
      </c>
      <c r="L161" s="54">
        <v>12</v>
      </c>
      <c r="M161" s="81">
        <f t="shared" si="14"/>
        <v>0</v>
      </c>
      <c r="N161" s="23">
        <f t="shared" si="11"/>
        <v>253284</v>
      </c>
      <c r="O161" s="23">
        <f t="shared" si="12"/>
        <v>253284</v>
      </c>
      <c r="P161" s="80">
        <f t="shared" si="13"/>
        <v>0</v>
      </c>
    </row>
    <row r="162" spans="2:16" x14ac:dyDescent="0.3">
      <c r="B162" s="18">
        <v>155</v>
      </c>
      <c r="C162" s="50">
        <v>44103103</v>
      </c>
      <c r="D162" s="21" t="s">
        <v>264</v>
      </c>
      <c r="E162" s="49" t="s">
        <v>25</v>
      </c>
      <c r="F162" s="57">
        <v>44497</v>
      </c>
      <c r="G162" s="57">
        <v>44497</v>
      </c>
      <c r="H162" s="85" t="s">
        <v>239</v>
      </c>
      <c r="I162" s="58" t="s">
        <v>28</v>
      </c>
      <c r="J162" s="59">
        <v>21107</v>
      </c>
      <c r="K162" s="53">
        <f t="shared" si="10"/>
        <v>253284</v>
      </c>
      <c r="L162" s="54">
        <v>12</v>
      </c>
      <c r="M162" s="81">
        <f t="shared" si="14"/>
        <v>0</v>
      </c>
      <c r="N162" s="23">
        <f t="shared" si="11"/>
        <v>253284</v>
      </c>
      <c r="O162" s="23">
        <f t="shared" si="12"/>
        <v>253284</v>
      </c>
      <c r="P162" s="80">
        <f t="shared" si="13"/>
        <v>0</v>
      </c>
    </row>
    <row r="163" spans="2:16" x14ac:dyDescent="0.3">
      <c r="B163" s="49">
        <v>156</v>
      </c>
      <c r="C163" s="50">
        <v>44103103</v>
      </c>
      <c r="D163" s="21" t="s">
        <v>265</v>
      </c>
      <c r="E163" s="49" t="s">
        <v>25</v>
      </c>
      <c r="F163" s="57">
        <v>44497</v>
      </c>
      <c r="G163" s="57">
        <v>44497</v>
      </c>
      <c r="H163" s="85" t="s">
        <v>239</v>
      </c>
      <c r="I163" s="58" t="s">
        <v>28</v>
      </c>
      <c r="J163" s="59">
        <v>21107</v>
      </c>
      <c r="K163" s="53">
        <f t="shared" si="10"/>
        <v>253284</v>
      </c>
      <c r="L163" s="54">
        <v>11</v>
      </c>
      <c r="M163" s="81">
        <f t="shared" si="14"/>
        <v>1</v>
      </c>
      <c r="N163" s="23">
        <f t="shared" si="11"/>
        <v>253284</v>
      </c>
      <c r="O163" s="23">
        <f t="shared" si="12"/>
        <v>232177</v>
      </c>
      <c r="P163" s="80">
        <f t="shared" si="13"/>
        <v>-21107</v>
      </c>
    </row>
    <row r="164" spans="2:16" x14ac:dyDescent="0.3">
      <c r="B164" s="49">
        <v>157</v>
      </c>
      <c r="C164" s="50">
        <v>44103103</v>
      </c>
      <c r="D164" s="21" t="s">
        <v>266</v>
      </c>
      <c r="E164" s="49" t="s">
        <v>25</v>
      </c>
      <c r="F164" s="57">
        <v>44497</v>
      </c>
      <c r="G164" s="57">
        <v>44497</v>
      </c>
      <c r="H164" s="85" t="s">
        <v>163</v>
      </c>
      <c r="I164" s="58" t="s">
        <v>28</v>
      </c>
      <c r="J164" s="59">
        <v>15033</v>
      </c>
      <c r="K164" s="53">
        <f t="shared" si="10"/>
        <v>225495</v>
      </c>
      <c r="L164" s="54">
        <v>15</v>
      </c>
      <c r="M164" s="81">
        <f t="shared" si="14"/>
        <v>0</v>
      </c>
      <c r="N164" s="23">
        <f t="shared" si="11"/>
        <v>225495</v>
      </c>
      <c r="O164" s="23">
        <f t="shared" si="12"/>
        <v>225495</v>
      </c>
      <c r="P164" s="80">
        <f t="shared" si="13"/>
        <v>0</v>
      </c>
    </row>
    <row r="165" spans="2:16" x14ac:dyDescent="0.3">
      <c r="B165" s="18">
        <v>158</v>
      </c>
      <c r="C165" s="50">
        <v>44103103</v>
      </c>
      <c r="D165" s="21" t="s">
        <v>267</v>
      </c>
      <c r="E165" s="49" t="s">
        <v>25</v>
      </c>
      <c r="F165" s="57">
        <v>44410</v>
      </c>
      <c r="G165" s="57">
        <v>44431</v>
      </c>
      <c r="H165" s="85" t="s">
        <v>111</v>
      </c>
      <c r="I165" s="58" t="s">
        <v>28</v>
      </c>
      <c r="J165" s="59">
        <v>5838</v>
      </c>
      <c r="K165" s="53">
        <f t="shared" si="10"/>
        <v>23352</v>
      </c>
      <c r="L165" s="54">
        <v>0</v>
      </c>
      <c r="M165" s="81">
        <f t="shared" si="14"/>
        <v>4</v>
      </c>
      <c r="N165" s="23">
        <f t="shared" si="11"/>
        <v>23352</v>
      </c>
      <c r="O165" s="23">
        <f t="shared" si="12"/>
        <v>0</v>
      </c>
      <c r="P165" s="80">
        <f t="shared" si="13"/>
        <v>-23352</v>
      </c>
    </row>
    <row r="166" spans="2:16" x14ac:dyDescent="0.3">
      <c r="B166" s="18">
        <v>159</v>
      </c>
      <c r="C166" s="50">
        <v>44103103</v>
      </c>
      <c r="D166" s="21" t="s">
        <v>268</v>
      </c>
      <c r="E166" s="49" t="s">
        <v>25</v>
      </c>
      <c r="F166" s="57">
        <v>44410</v>
      </c>
      <c r="G166" s="57">
        <v>44431</v>
      </c>
      <c r="H166" s="85" t="s">
        <v>269</v>
      </c>
      <c r="I166" s="58" t="s">
        <v>28</v>
      </c>
      <c r="J166" s="59">
        <v>5770</v>
      </c>
      <c r="K166" s="53">
        <f t="shared" si="10"/>
        <v>80780</v>
      </c>
      <c r="L166" s="54">
        <v>13</v>
      </c>
      <c r="M166" s="81">
        <f t="shared" si="14"/>
        <v>1</v>
      </c>
      <c r="N166" s="23">
        <f t="shared" si="11"/>
        <v>80780</v>
      </c>
      <c r="O166" s="23">
        <f t="shared" si="12"/>
        <v>75010</v>
      </c>
      <c r="P166" s="80">
        <f t="shared" si="13"/>
        <v>-5770</v>
      </c>
    </row>
    <row r="167" spans="2:16" x14ac:dyDescent="0.3">
      <c r="B167" s="49">
        <v>160</v>
      </c>
      <c r="C167" s="50">
        <v>44103103</v>
      </c>
      <c r="D167" s="21" t="s">
        <v>270</v>
      </c>
      <c r="E167" s="49" t="s">
        <v>25</v>
      </c>
      <c r="F167" s="57">
        <v>44410</v>
      </c>
      <c r="G167" s="57">
        <v>44431</v>
      </c>
      <c r="H167" s="85" t="s">
        <v>111</v>
      </c>
      <c r="I167" s="58" t="s">
        <v>28</v>
      </c>
      <c r="J167" s="59">
        <v>5770</v>
      </c>
      <c r="K167" s="53">
        <f t="shared" si="10"/>
        <v>23080</v>
      </c>
      <c r="L167" s="54">
        <v>0</v>
      </c>
      <c r="M167" s="81">
        <f t="shared" si="14"/>
        <v>4</v>
      </c>
      <c r="N167" s="23">
        <f t="shared" si="11"/>
        <v>23080</v>
      </c>
      <c r="O167" s="23">
        <f t="shared" si="12"/>
        <v>0</v>
      </c>
      <c r="P167" s="80">
        <f t="shared" si="13"/>
        <v>-23080</v>
      </c>
    </row>
    <row r="168" spans="2:16" x14ac:dyDescent="0.3">
      <c r="B168" s="49">
        <v>161</v>
      </c>
      <c r="C168" s="50">
        <v>44103103</v>
      </c>
      <c r="D168" s="21" t="s">
        <v>271</v>
      </c>
      <c r="E168" s="49" t="s">
        <v>25</v>
      </c>
      <c r="F168" s="57">
        <v>44283</v>
      </c>
      <c r="G168" s="57">
        <v>44283</v>
      </c>
      <c r="H168" s="85" t="s">
        <v>262</v>
      </c>
      <c r="I168" s="58" t="s">
        <v>28</v>
      </c>
      <c r="J168" s="59">
        <v>4950</v>
      </c>
      <c r="K168" s="53">
        <f t="shared" si="10"/>
        <v>14850</v>
      </c>
      <c r="L168" s="54">
        <v>2</v>
      </c>
      <c r="M168" s="81">
        <f t="shared" si="14"/>
        <v>1</v>
      </c>
      <c r="N168" s="23">
        <f t="shared" si="11"/>
        <v>14850</v>
      </c>
      <c r="O168" s="23">
        <f t="shared" si="12"/>
        <v>9900</v>
      </c>
      <c r="P168" s="80">
        <f t="shared" si="13"/>
        <v>-4950</v>
      </c>
    </row>
    <row r="169" spans="2:16" x14ac:dyDescent="0.3">
      <c r="B169" s="18">
        <v>162</v>
      </c>
      <c r="C169" s="50">
        <v>44103103</v>
      </c>
      <c r="D169" s="21" t="s">
        <v>272</v>
      </c>
      <c r="E169" s="49" t="s">
        <v>25</v>
      </c>
      <c r="F169" s="57">
        <v>44497</v>
      </c>
      <c r="G169" s="57">
        <v>44497</v>
      </c>
      <c r="H169" s="85" t="s">
        <v>84</v>
      </c>
      <c r="I169" s="58" t="s">
        <v>28</v>
      </c>
      <c r="J169" s="59">
        <v>6756</v>
      </c>
      <c r="K169" s="53">
        <f t="shared" si="10"/>
        <v>74316</v>
      </c>
      <c r="L169" s="54">
        <v>12</v>
      </c>
      <c r="M169" s="81">
        <f t="shared" si="14"/>
        <v>-1</v>
      </c>
      <c r="N169" s="23">
        <f t="shared" si="11"/>
        <v>74316</v>
      </c>
      <c r="O169" s="23">
        <f t="shared" si="12"/>
        <v>81072</v>
      </c>
      <c r="P169" s="80">
        <f t="shared" si="13"/>
        <v>6756</v>
      </c>
    </row>
    <row r="170" spans="2:16" x14ac:dyDescent="0.3">
      <c r="B170" s="18">
        <v>163</v>
      </c>
      <c r="C170" s="56">
        <v>47121806</v>
      </c>
      <c r="D170" s="21" t="s">
        <v>273</v>
      </c>
      <c r="E170" s="49" t="s">
        <v>25</v>
      </c>
      <c r="F170" s="57" t="s">
        <v>274</v>
      </c>
      <c r="G170" s="57" t="s">
        <v>274</v>
      </c>
      <c r="H170" s="85" t="s">
        <v>120</v>
      </c>
      <c r="I170" s="58" t="s">
        <v>28</v>
      </c>
      <c r="J170" s="59">
        <v>413</v>
      </c>
      <c r="K170" s="53">
        <f t="shared" si="10"/>
        <v>4130</v>
      </c>
      <c r="L170" s="54">
        <f>10+10</f>
        <v>20</v>
      </c>
      <c r="M170" s="81">
        <f t="shared" si="14"/>
        <v>-10</v>
      </c>
      <c r="N170" s="23">
        <f t="shared" si="11"/>
        <v>4130</v>
      </c>
      <c r="O170" s="23">
        <f t="shared" si="12"/>
        <v>8260</v>
      </c>
      <c r="P170" s="80">
        <f t="shared" si="13"/>
        <v>4130</v>
      </c>
    </row>
    <row r="171" spans="2:16" x14ac:dyDescent="0.3">
      <c r="B171" s="49">
        <v>164</v>
      </c>
      <c r="C171" s="50">
        <v>44103103</v>
      </c>
      <c r="D171" s="21" t="s">
        <v>275</v>
      </c>
      <c r="E171" s="49" t="s">
        <v>25</v>
      </c>
      <c r="F171" s="57" t="s">
        <v>26</v>
      </c>
      <c r="G171" s="57" t="s">
        <v>26</v>
      </c>
      <c r="H171" s="85">
        <v>15</v>
      </c>
      <c r="I171" s="58" t="s">
        <v>33</v>
      </c>
      <c r="J171" s="59">
        <v>163.33000000000001</v>
      </c>
      <c r="K171" s="53">
        <f t="shared" si="10"/>
        <v>2449.9500000000003</v>
      </c>
      <c r="L171" s="54">
        <f>20+100</f>
        <v>120</v>
      </c>
      <c r="M171" s="81">
        <f t="shared" si="14"/>
        <v>-105</v>
      </c>
      <c r="N171" s="23">
        <f t="shared" si="11"/>
        <v>2449.9500000000003</v>
      </c>
      <c r="O171" s="23">
        <f t="shared" si="12"/>
        <v>19599.600000000002</v>
      </c>
      <c r="P171" s="80">
        <f t="shared" si="13"/>
        <v>17149.650000000001</v>
      </c>
    </row>
    <row r="172" spans="2:16" x14ac:dyDescent="0.3">
      <c r="B172" s="49">
        <v>165</v>
      </c>
      <c r="C172" s="50">
        <v>44103103</v>
      </c>
      <c r="D172" s="21" t="s">
        <v>276</v>
      </c>
      <c r="E172" s="49" t="s">
        <v>25</v>
      </c>
      <c r="F172" s="57" t="s">
        <v>26</v>
      </c>
      <c r="G172" s="57" t="s">
        <v>26</v>
      </c>
      <c r="H172" s="85">
        <v>60</v>
      </c>
      <c r="I172" s="58" t="s">
        <v>33</v>
      </c>
      <c r="J172" s="59">
        <v>383.33</v>
      </c>
      <c r="K172" s="53">
        <f t="shared" si="10"/>
        <v>22999.8</v>
      </c>
      <c r="L172" s="54">
        <v>33</v>
      </c>
      <c r="M172" s="81">
        <f t="shared" si="14"/>
        <v>27</v>
      </c>
      <c r="N172" s="23">
        <f t="shared" si="11"/>
        <v>22999.8</v>
      </c>
      <c r="O172" s="23">
        <f t="shared" si="12"/>
        <v>12649.89</v>
      </c>
      <c r="P172" s="80">
        <f t="shared" si="13"/>
        <v>-10349.91</v>
      </c>
    </row>
    <row r="173" spans="2:16" x14ac:dyDescent="0.3">
      <c r="B173" s="18">
        <v>166</v>
      </c>
      <c r="C173" s="50">
        <v>56</v>
      </c>
      <c r="D173" s="20" t="s">
        <v>277</v>
      </c>
      <c r="E173" s="49" t="s">
        <v>25</v>
      </c>
      <c r="F173" s="51">
        <v>45149</v>
      </c>
      <c r="G173" s="52"/>
      <c r="H173" s="84">
        <v>0</v>
      </c>
      <c r="I173" s="58" t="s">
        <v>28</v>
      </c>
      <c r="J173" s="75">
        <v>4124</v>
      </c>
      <c r="K173" s="53">
        <f t="shared" si="10"/>
        <v>0</v>
      </c>
      <c r="L173" s="54">
        <v>33</v>
      </c>
      <c r="M173" s="81">
        <f t="shared" si="14"/>
        <v>-33</v>
      </c>
      <c r="N173" s="23">
        <f t="shared" si="11"/>
        <v>0</v>
      </c>
      <c r="O173" s="23">
        <f t="shared" si="12"/>
        <v>136092</v>
      </c>
      <c r="P173" s="80">
        <f t="shared" si="13"/>
        <v>136092</v>
      </c>
    </row>
    <row r="174" spans="2:16" x14ac:dyDescent="0.3">
      <c r="B174" s="18">
        <v>167</v>
      </c>
      <c r="C174" s="50">
        <v>57</v>
      </c>
      <c r="D174" s="20" t="s">
        <v>278</v>
      </c>
      <c r="E174" s="49" t="s">
        <v>25</v>
      </c>
      <c r="F174" s="51">
        <v>45149</v>
      </c>
      <c r="G174" s="52"/>
      <c r="H174" s="84">
        <v>0</v>
      </c>
      <c r="I174" s="58" t="s">
        <v>28</v>
      </c>
      <c r="J174" s="75">
        <v>270</v>
      </c>
      <c r="K174" s="53">
        <f t="shared" si="10"/>
        <v>0</v>
      </c>
      <c r="L174" s="54">
        <f>144+16</f>
        <v>160</v>
      </c>
      <c r="M174" s="81">
        <f t="shared" si="14"/>
        <v>-160</v>
      </c>
      <c r="N174" s="23">
        <f t="shared" si="11"/>
        <v>0</v>
      </c>
      <c r="O174" s="23">
        <f t="shared" si="12"/>
        <v>43200</v>
      </c>
      <c r="P174" s="80">
        <f t="shared" si="13"/>
        <v>43200</v>
      </c>
    </row>
    <row r="175" spans="2:16" x14ac:dyDescent="0.3">
      <c r="B175" s="49">
        <v>168</v>
      </c>
      <c r="C175" s="50">
        <v>58</v>
      </c>
      <c r="D175" s="20" t="s">
        <v>279</v>
      </c>
      <c r="E175" s="49" t="s">
        <v>25</v>
      </c>
      <c r="F175" s="51">
        <v>45149</v>
      </c>
      <c r="G175" s="52"/>
      <c r="H175" s="84">
        <v>0</v>
      </c>
      <c r="I175" s="58" t="s">
        <v>28</v>
      </c>
      <c r="J175" s="75">
        <v>5605</v>
      </c>
      <c r="K175" s="53">
        <f t="shared" si="10"/>
        <v>0</v>
      </c>
      <c r="L175" s="54">
        <v>18</v>
      </c>
      <c r="M175" s="81">
        <f t="shared" si="14"/>
        <v>-18</v>
      </c>
      <c r="N175" s="23">
        <f t="shared" si="11"/>
        <v>0</v>
      </c>
      <c r="O175" s="23">
        <f t="shared" si="12"/>
        <v>100890</v>
      </c>
      <c r="P175" s="80">
        <f t="shared" si="13"/>
        <v>100890</v>
      </c>
    </row>
    <row r="176" spans="2:16" x14ac:dyDescent="0.3">
      <c r="B176" s="49">
        <v>169</v>
      </c>
      <c r="C176" s="50">
        <v>59</v>
      </c>
      <c r="D176" s="20" t="s">
        <v>280</v>
      </c>
      <c r="E176" s="49" t="s">
        <v>25</v>
      </c>
      <c r="F176" s="51">
        <v>45149</v>
      </c>
      <c r="G176" s="52"/>
      <c r="H176" s="84">
        <v>0</v>
      </c>
      <c r="I176" s="58" t="s">
        <v>28</v>
      </c>
      <c r="J176" s="67"/>
      <c r="K176" s="53">
        <f t="shared" ref="K176:K177" si="15">+H176*J176</f>
        <v>0</v>
      </c>
      <c r="L176" s="54">
        <v>18</v>
      </c>
      <c r="M176" s="81">
        <f t="shared" ref="M176:M177" si="16">+H176-L176</f>
        <v>-18</v>
      </c>
      <c r="N176" s="23">
        <f t="shared" si="11"/>
        <v>0</v>
      </c>
      <c r="O176" s="23">
        <f t="shared" si="12"/>
        <v>0</v>
      </c>
      <c r="P176" s="80">
        <f t="shared" si="13"/>
        <v>0</v>
      </c>
    </row>
    <row r="177" spans="2:16" x14ac:dyDescent="0.3">
      <c r="B177" s="18">
        <v>170</v>
      </c>
      <c r="C177" s="50">
        <v>60</v>
      </c>
      <c r="D177" s="20" t="s">
        <v>281</v>
      </c>
      <c r="E177" s="49" t="s">
        <v>25</v>
      </c>
      <c r="F177" s="51">
        <v>45149</v>
      </c>
      <c r="G177" s="52"/>
      <c r="H177" s="84">
        <v>0</v>
      </c>
      <c r="I177" s="58" t="s">
        <v>28</v>
      </c>
      <c r="J177" s="75">
        <v>60.97</v>
      </c>
      <c r="K177" s="53">
        <f t="shared" si="15"/>
        <v>0</v>
      </c>
      <c r="L177" s="54"/>
      <c r="M177" s="81">
        <f t="shared" si="16"/>
        <v>0</v>
      </c>
      <c r="N177" s="23">
        <f t="shared" ref="N177" si="17">+H177*J177</f>
        <v>0</v>
      </c>
      <c r="O177" s="23">
        <f t="shared" ref="O177" si="18">+L177*J177</f>
        <v>0</v>
      </c>
      <c r="P177" s="80">
        <f t="shared" ref="P177" si="19">+O177-N177</f>
        <v>0</v>
      </c>
    </row>
    <row r="178" spans="2:16" x14ac:dyDescent="0.3">
      <c r="B178" s="69" t="s">
        <v>282</v>
      </c>
      <c r="C178" s="68"/>
      <c r="D178" s="69"/>
      <c r="E178" s="70"/>
      <c r="F178" s="71"/>
      <c r="G178" s="72"/>
      <c r="H178" s="84">
        <v>13866</v>
      </c>
      <c r="I178" s="73"/>
      <c r="J178" s="74"/>
      <c r="K178" s="83">
        <f>SUM(K8:K175)</f>
        <v>4738200.59</v>
      </c>
      <c r="L178" s="54">
        <f>SUM(L8:L177)</f>
        <v>15300</v>
      </c>
      <c r="M178" s="55"/>
      <c r="N178" s="82">
        <f>SUM(N8:N177)</f>
        <v>4738200.59</v>
      </c>
      <c r="O178" s="82">
        <f>SUM(O8:O177)</f>
        <v>6543871.1999999983</v>
      </c>
      <c r="P178" s="82">
        <f t="shared" si="13"/>
        <v>1805670.6099999985</v>
      </c>
    </row>
    <row r="179" spans="2:16" x14ac:dyDescent="0.3">
      <c r="B179" s="29"/>
      <c r="C179" s="30"/>
      <c r="D179" s="31"/>
      <c r="E179" s="32"/>
      <c r="F179" s="33"/>
      <c r="G179" s="34"/>
      <c r="H179" s="35"/>
      <c r="I179" s="36"/>
      <c r="J179" s="37"/>
      <c r="K179" s="38"/>
      <c r="L179" s="39"/>
      <c r="M179" s="24"/>
    </row>
    <row r="180" spans="2:16" x14ac:dyDescent="0.3">
      <c r="B180" s="29"/>
      <c r="C180" s="30"/>
      <c r="D180" s="31"/>
      <c r="E180" s="32"/>
      <c r="F180" s="33"/>
      <c r="G180" s="34"/>
      <c r="H180" s="35"/>
      <c r="I180" s="36"/>
      <c r="J180" s="37"/>
      <c r="K180" s="38"/>
      <c r="L180" s="39"/>
      <c r="M180" s="24"/>
    </row>
    <row r="181" spans="2:16" x14ac:dyDescent="0.3">
      <c r="B181" s="29"/>
      <c r="C181" s="30"/>
      <c r="D181" s="31"/>
      <c r="E181" s="32"/>
      <c r="F181" s="33"/>
      <c r="G181" s="34"/>
      <c r="H181" s="35"/>
      <c r="I181" s="36"/>
      <c r="J181" s="37"/>
      <c r="K181" s="38"/>
      <c r="L181" s="39"/>
      <c r="M181" s="24"/>
    </row>
    <row r="183" spans="2:16" ht="15.6" x14ac:dyDescent="0.3">
      <c r="E183" s="102" t="s">
        <v>283</v>
      </c>
      <c r="F183" s="102"/>
      <c r="H183" s="102" t="s">
        <v>284</v>
      </c>
      <c r="I183" s="102"/>
    </row>
    <row r="184" spans="2:16" x14ac:dyDescent="0.3">
      <c r="E184" s="103" t="s">
        <v>285</v>
      </c>
      <c r="F184" s="103"/>
      <c r="H184" s="103" t="s">
        <v>285</v>
      </c>
      <c r="I184" s="103"/>
    </row>
    <row r="185" spans="2:16" x14ac:dyDescent="0.3">
      <c r="E185" s="104" t="s">
        <v>286</v>
      </c>
      <c r="F185" s="104"/>
      <c r="H185" s="104" t="s">
        <v>287</v>
      </c>
      <c r="I185" s="104"/>
    </row>
    <row r="186" spans="2:16" x14ac:dyDescent="0.3">
      <c r="E186" s="103" t="s">
        <v>288</v>
      </c>
      <c r="F186" s="103"/>
      <c r="H186" s="103" t="s">
        <v>288</v>
      </c>
      <c r="I186" s="103"/>
    </row>
  </sheetData>
  <autoFilter ref="B7:O178" xr:uid="{00000000-0001-0000-0000-000000000000}"/>
  <sortState xmlns:xlrd2="http://schemas.microsoft.com/office/spreadsheetml/2017/richdata2" ref="C8:L174">
    <sortCondition ref="D8:D174"/>
  </sortState>
  <mergeCells count="8">
    <mergeCell ref="E183:F183"/>
    <mergeCell ref="E184:F184"/>
    <mergeCell ref="E185:F185"/>
    <mergeCell ref="E186:F186"/>
    <mergeCell ref="H183:I183"/>
    <mergeCell ref="H184:I184"/>
    <mergeCell ref="H185:I185"/>
    <mergeCell ref="H186:I186"/>
  </mergeCells>
  <conditionalFormatting sqref="E183:E186">
    <cfRule type="duplicateValues" dxfId="5" priority="3"/>
    <cfRule type="duplicateValues" dxfId="4" priority="4"/>
  </conditionalFormatting>
  <conditionalFormatting sqref="H183:H186">
    <cfRule type="duplicateValues" dxfId="3" priority="1"/>
    <cfRule type="duplicateValues" dxfId="2" priority="2"/>
  </conditionalFormatting>
  <dataValidations disablePrompts="1" count="1">
    <dataValidation type="whole" operator="greaterThan" allowBlank="1" showInputMessage="1" showErrorMessage="1" sqref="C7 C9:C11 C13:C15 C17:C20 C22:C24 C26:C28 C30:C32 C34:C36 C38:C40 C42:C44 C46:C48 C50:C52 C54:C56 C58:C60 C66:C67 C62:C64 C74:C181" xr:uid="{00000000-0002-0000-0000-000000000000}">
      <formula1>0</formula1>
    </dataValidation>
  </dataValidations>
  <pageMargins left="0.25" right="0.25" top="0.75" bottom="0.75" header="0.3" footer="0.3"/>
  <pageSetup paperSize="5" orientation="landscape" horizontalDpi="4294967295" verticalDpi="4294967295" r:id="rId1"/>
  <ignoredErrors>
    <ignoredError sqref="H11:H177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76"/>
  <sheetViews>
    <sheetView workbookViewId="0">
      <pane xSplit="1" ySplit="4" topLeftCell="B8" activePane="bottomRight" state="frozen"/>
      <selection pane="topRight" activeCell="B1" sqref="B1"/>
      <selection pane="bottomLeft" activeCell="A4" sqref="A4"/>
      <selection pane="bottomRight" activeCell="S124" sqref="S124"/>
    </sheetView>
  </sheetViews>
  <sheetFormatPr baseColWidth="10" defaultColWidth="10.88671875" defaultRowHeight="14.4" outlineLevelCol="1" x14ac:dyDescent="0.3"/>
  <cols>
    <col min="1" max="1" width="1.88671875" customWidth="1"/>
    <col min="2" max="2" width="4.33203125" bestFit="1" customWidth="1"/>
    <col min="3" max="3" width="12" bestFit="1" customWidth="1"/>
    <col min="4" max="4" width="26" bestFit="1" customWidth="1"/>
    <col min="5" max="5" width="11.109375" bestFit="1" customWidth="1"/>
    <col min="6" max="6" width="5.44140625" customWidth="1" outlineLevel="1"/>
    <col min="7" max="9" width="4.6640625" customWidth="1" outlineLevel="1"/>
    <col min="10" max="11" width="3.88671875" customWidth="1" outlineLevel="1"/>
    <col min="12" max="12" width="5.44140625" customWidth="1" outlineLevel="1"/>
    <col min="13" max="14" width="4.6640625" customWidth="1" outlineLevel="1"/>
    <col min="15" max="16" width="5.44140625" customWidth="1" outlineLevel="1"/>
    <col min="17" max="18" width="4.6640625" customWidth="1" outlineLevel="1"/>
    <col min="19" max="19" width="5.109375" customWidth="1" outlineLevel="1"/>
    <col min="20" max="22" width="4.6640625" customWidth="1" outlineLevel="1"/>
    <col min="23" max="23" width="6.5546875" bestFit="1" customWidth="1"/>
  </cols>
  <sheetData>
    <row r="1" spans="2:23" ht="21" customHeight="1" x14ac:dyDescent="0.35">
      <c r="C1" s="1"/>
      <c r="D1" s="16" t="s">
        <v>289</v>
      </c>
    </row>
    <row r="2" spans="2:23" ht="27" customHeight="1" x14ac:dyDescent="0.35">
      <c r="C2" s="1"/>
      <c r="D2" s="17" t="s">
        <v>290</v>
      </c>
      <c r="F2" s="25"/>
      <c r="G2" s="25"/>
      <c r="H2" s="25"/>
      <c r="I2" s="25"/>
      <c r="K2" s="108" t="s">
        <v>291</v>
      </c>
      <c r="L2" s="109"/>
      <c r="M2" s="109"/>
      <c r="N2" s="109"/>
      <c r="O2" s="109"/>
      <c r="P2" s="110"/>
      <c r="W2" s="26"/>
    </row>
    <row r="3" spans="2:23" ht="27" customHeight="1" x14ac:dyDescent="0.35">
      <c r="C3" s="1"/>
      <c r="D3" s="17"/>
      <c r="F3" s="105" t="s">
        <v>292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  <c r="W3" s="27"/>
    </row>
    <row r="4" spans="2:23" ht="28.8" x14ac:dyDescent="0.3">
      <c r="B4" s="14" t="s">
        <v>3</v>
      </c>
      <c r="C4" s="15" t="s">
        <v>4</v>
      </c>
      <c r="D4" s="15" t="s">
        <v>5</v>
      </c>
      <c r="E4" s="15" t="s">
        <v>293</v>
      </c>
      <c r="F4" s="15">
        <v>15</v>
      </c>
      <c r="G4" s="15">
        <v>16</v>
      </c>
      <c r="H4" s="15">
        <v>17</v>
      </c>
      <c r="I4" s="15">
        <v>18</v>
      </c>
      <c r="J4" s="15">
        <v>19</v>
      </c>
      <c r="K4" s="15">
        <v>20</v>
      </c>
      <c r="L4" s="15">
        <v>21</v>
      </c>
      <c r="M4" s="15">
        <v>22</v>
      </c>
      <c r="N4" s="15">
        <v>23</v>
      </c>
      <c r="O4" s="15">
        <v>24</v>
      </c>
      <c r="P4" s="15">
        <v>25</v>
      </c>
      <c r="Q4" s="15">
        <v>26</v>
      </c>
      <c r="R4" s="15">
        <v>27</v>
      </c>
      <c r="S4" s="15">
        <v>28</v>
      </c>
      <c r="T4" s="15">
        <v>29</v>
      </c>
      <c r="U4" s="15">
        <v>30</v>
      </c>
      <c r="V4" s="15">
        <v>31</v>
      </c>
      <c r="W4" s="22" t="s">
        <v>294</v>
      </c>
    </row>
    <row r="5" spans="2:23" x14ac:dyDescent="0.3">
      <c r="B5" s="18">
        <f>+'Mats+Insumos'!B8</f>
        <v>1</v>
      </c>
      <c r="C5" s="19">
        <f>+'Mats+Insumos'!C8</f>
        <v>1</v>
      </c>
      <c r="D5" s="20" t="s">
        <v>18</v>
      </c>
      <c r="E5" s="20" t="str">
        <f>+'Mats+Insumos'!I8</f>
        <v>CAJA  18/1</v>
      </c>
      <c r="F5" s="40">
        <f>10+15+2+1</f>
        <v>28</v>
      </c>
      <c r="G5" s="40"/>
      <c r="H5" s="40">
        <v>7</v>
      </c>
      <c r="I5" s="40"/>
      <c r="J5" s="40"/>
      <c r="K5" s="40"/>
      <c r="L5" s="40"/>
      <c r="M5" s="40"/>
      <c r="N5" s="40"/>
      <c r="O5" s="40">
        <v>26</v>
      </c>
      <c r="P5" s="40"/>
      <c r="Q5" s="40"/>
      <c r="R5" s="40"/>
      <c r="S5" s="40"/>
      <c r="T5" s="40"/>
      <c r="U5" s="40"/>
      <c r="V5" s="40"/>
      <c r="W5" s="23">
        <f>SUM(F5:V5)</f>
        <v>61</v>
      </c>
    </row>
    <row r="6" spans="2:23" x14ac:dyDescent="0.3">
      <c r="B6" s="18">
        <f>+'Mats+Insumos'!B9</f>
        <v>2</v>
      </c>
      <c r="C6" s="19">
        <f>+'Mats+Insumos'!C9</f>
        <v>2</v>
      </c>
      <c r="D6" s="20" t="s">
        <v>20</v>
      </c>
      <c r="E6" s="20" t="str">
        <f>+'Mats+Insumos'!I9</f>
        <v>CAJA (12/1)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23">
        <f t="shared" ref="W6:W69" si="0">SUM(F6:V6)</f>
        <v>0</v>
      </c>
    </row>
    <row r="7" spans="2:23" x14ac:dyDescent="0.3">
      <c r="B7" s="18">
        <f>+'Mats+Insumos'!B10</f>
        <v>3</v>
      </c>
      <c r="C7" s="19">
        <f>+'Mats+Insumos'!C10</f>
        <v>3</v>
      </c>
      <c r="D7" s="20" t="s">
        <v>22</v>
      </c>
      <c r="E7" s="20" t="str">
        <f>+'Mats+Insumos'!I10</f>
        <v>GALON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23">
        <f t="shared" si="0"/>
        <v>0</v>
      </c>
    </row>
    <row r="8" spans="2:23" x14ac:dyDescent="0.3">
      <c r="B8" s="18">
        <f>+'Mats+Insumos'!B11</f>
        <v>4</v>
      </c>
      <c r="C8" s="19">
        <f>+'Mats+Insumos'!C11</f>
        <v>25111903</v>
      </c>
      <c r="D8" s="21" t="s">
        <v>24</v>
      </c>
      <c r="E8" s="20" t="str">
        <f>+'Mats+Insumos'!I11</f>
        <v>UNIDAD</v>
      </c>
      <c r="F8" s="40"/>
      <c r="G8" s="40"/>
      <c r="H8" s="40"/>
      <c r="I8" s="40"/>
      <c r="J8" s="40"/>
      <c r="K8" s="40"/>
      <c r="L8" s="40">
        <f>3+6</f>
        <v>9</v>
      </c>
      <c r="M8" s="40"/>
      <c r="N8" s="40"/>
      <c r="O8" s="40">
        <v>4</v>
      </c>
      <c r="P8" s="40"/>
      <c r="Q8" s="40"/>
      <c r="R8" s="40"/>
      <c r="S8" s="40"/>
      <c r="T8" s="40"/>
      <c r="U8" s="40"/>
      <c r="V8" s="40"/>
      <c r="W8" s="23">
        <f t="shared" si="0"/>
        <v>13</v>
      </c>
    </row>
    <row r="9" spans="2:23" x14ac:dyDescent="0.3">
      <c r="B9" s="18">
        <f>+'Mats+Insumos'!B12</f>
        <v>5</v>
      </c>
      <c r="C9" s="19">
        <f>+'Mats+Insumos'!C12</f>
        <v>50161814</v>
      </c>
      <c r="D9" s="21" t="s">
        <v>29</v>
      </c>
      <c r="E9" s="20" t="str">
        <f>+'Mats+Insumos'!I12</f>
        <v>PAQUETE</v>
      </c>
      <c r="F9" s="40">
        <f>3+3+3+7</f>
        <v>16</v>
      </c>
      <c r="G9" s="40"/>
      <c r="H9" s="40"/>
      <c r="I9" s="40"/>
      <c r="J9" s="40"/>
      <c r="K9" s="40"/>
      <c r="L9" s="40">
        <f>5+14</f>
        <v>19</v>
      </c>
      <c r="M9" s="40"/>
      <c r="N9" s="40"/>
      <c r="O9" s="40">
        <f>3+5</f>
        <v>8</v>
      </c>
      <c r="P9" s="40"/>
      <c r="Q9" s="40"/>
      <c r="R9" s="40"/>
      <c r="S9" s="40">
        <v>6</v>
      </c>
      <c r="T9" s="40"/>
      <c r="U9" s="40"/>
      <c r="V9" s="40"/>
      <c r="W9" s="23">
        <f t="shared" si="0"/>
        <v>49</v>
      </c>
    </row>
    <row r="10" spans="2:23" x14ac:dyDescent="0.3">
      <c r="B10" s="18">
        <f>+'Mats+Insumos'!B13</f>
        <v>6</v>
      </c>
      <c r="C10" s="19">
        <f>+'Mats+Insumos'!C13</f>
        <v>4</v>
      </c>
      <c r="D10" s="20" t="s">
        <v>34</v>
      </c>
      <c r="E10" s="20" t="str">
        <f>+'Mats+Insumos'!I13</f>
        <v>UNIDAD</v>
      </c>
      <c r="F10" s="40"/>
      <c r="G10" s="40"/>
      <c r="H10" s="40">
        <v>1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23">
        <f t="shared" si="0"/>
        <v>1</v>
      </c>
    </row>
    <row r="11" spans="2:23" x14ac:dyDescent="0.3">
      <c r="B11" s="18">
        <f>+'Mats+Insumos'!B14</f>
        <v>7</v>
      </c>
      <c r="C11" s="19">
        <f>+'Mats+Insumos'!C14</f>
        <v>53102509</v>
      </c>
      <c r="D11" s="21" t="s">
        <v>35</v>
      </c>
      <c r="E11" s="20" t="str">
        <f>+'Mats+Insumos'!I14</f>
        <v>CAJA</v>
      </c>
      <c r="F11" s="40"/>
      <c r="G11" s="40"/>
      <c r="H11" s="40">
        <v>1</v>
      </c>
      <c r="I11" s="40">
        <v>1</v>
      </c>
      <c r="J11" s="40"/>
      <c r="K11" s="40"/>
      <c r="L11" s="40">
        <v>10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3">
        <f t="shared" si="0"/>
        <v>12</v>
      </c>
    </row>
    <row r="12" spans="2:23" x14ac:dyDescent="0.3">
      <c r="B12" s="18">
        <f>+'Mats+Insumos'!B15</f>
        <v>8</v>
      </c>
      <c r="C12" s="19">
        <f>+'Mats+Insumos'!C15</f>
        <v>5</v>
      </c>
      <c r="D12" s="20" t="s">
        <v>39</v>
      </c>
      <c r="E12" s="20" t="str">
        <f>+'Mats+Insumos'!I15</f>
        <v>UNIDAD</v>
      </c>
      <c r="F12" s="40"/>
      <c r="G12" s="40"/>
      <c r="H12" s="40">
        <v>1</v>
      </c>
      <c r="I12" s="40"/>
      <c r="J12" s="40"/>
      <c r="K12" s="40"/>
      <c r="L12" s="40"/>
      <c r="M12" s="40"/>
      <c r="N12" s="40"/>
      <c r="O12" s="40">
        <v>2</v>
      </c>
      <c r="P12" s="40"/>
      <c r="Q12" s="40"/>
      <c r="R12" s="40"/>
      <c r="S12" s="40"/>
      <c r="T12" s="40"/>
      <c r="U12" s="40"/>
      <c r="V12" s="40"/>
      <c r="W12" s="23">
        <f t="shared" si="0"/>
        <v>3</v>
      </c>
    </row>
    <row r="13" spans="2:23" x14ac:dyDescent="0.3">
      <c r="B13" s="18">
        <f>+'Mats+Insumos'!B16</f>
        <v>9</v>
      </c>
      <c r="C13" s="19" t="str">
        <f>+'Mats+Insumos'!C16</f>
        <v>44121701</v>
      </c>
      <c r="D13" s="21" t="s">
        <v>41</v>
      </c>
      <c r="E13" s="20" t="str">
        <f>+'Mats+Insumos'!I16</f>
        <v>DOCENA</v>
      </c>
      <c r="F13" s="40"/>
      <c r="G13" s="40"/>
      <c r="H13" s="40"/>
      <c r="I13" s="40">
        <v>2</v>
      </c>
      <c r="J13" s="40"/>
      <c r="K13" s="40"/>
      <c r="L13" s="40">
        <v>2</v>
      </c>
      <c r="M13" s="40"/>
      <c r="N13" s="40"/>
      <c r="O13" s="40"/>
      <c r="P13" s="40"/>
      <c r="Q13" s="40"/>
      <c r="R13" s="40"/>
      <c r="S13" s="40">
        <v>6</v>
      </c>
      <c r="T13" s="40"/>
      <c r="U13" s="40"/>
      <c r="V13" s="40"/>
      <c r="W13" s="23">
        <f t="shared" si="0"/>
        <v>10</v>
      </c>
    </row>
    <row r="14" spans="2:23" x14ac:dyDescent="0.3">
      <c r="B14" s="18">
        <f>+'Mats+Insumos'!B17</f>
        <v>10</v>
      </c>
      <c r="C14" s="19" t="str">
        <f>+'Mats+Insumos'!C17</f>
        <v>44121702</v>
      </c>
      <c r="D14" s="21" t="s">
        <v>45</v>
      </c>
      <c r="E14" s="20" t="str">
        <f>+'Mats+Insumos'!I17</f>
        <v>DOCENA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>
        <v>6</v>
      </c>
      <c r="T14" s="40"/>
      <c r="U14" s="40"/>
      <c r="V14" s="40"/>
      <c r="W14" s="23">
        <f t="shared" si="0"/>
        <v>6</v>
      </c>
    </row>
    <row r="15" spans="2:23" x14ac:dyDescent="0.3">
      <c r="B15" s="18">
        <f>+'Mats+Insumos'!B18</f>
        <v>11</v>
      </c>
      <c r="C15" s="19">
        <f>+'Mats+Insumos'!C18</f>
        <v>60121535</v>
      </c>
      <c r="D15" s="21" t="s">
        <v>47</v>
      </c>
      <c r="E15" s="20" t="str">
        <f>+'Mats+Insumos'!I18</f>
        <v>UNIDAD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23">
        <f t="shared" si="0"/>
        <v>0</v>
      </c>
    </row>
    <row r="16" spans="2:23" x14ac:dyDescent="0.3">
      <c r="B16" s="18">
        <f>+'Mats+Insumos'!B19</f>
        <v>12</v>
      </c>
      <c r="C16" s="19">
        <f>+'Mats+Insumos'!C19</f>
        <v>44121804</v>
      </c>
      <c r="D16" s="21" t="s">
        <v>49</v>
      </c>
      <c r="E16" s="20" t="str">
        <f>+'Mats+Insumos'!I19</f>
        <v>UNIDAD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23">
        <f t="shared" si="0"/>
        <v>0</v>
      </c>
    </row>
    <row r="17" spans="2:23" x14ac:dyDescent="0.3">
      <c r="B17" s="18">
        <f>+'Mats+Insumos'!B20</f>
        <v>13</v>
      </c>
      <c r="C17" s="19">
        <f>+'Mats+Insumos'!C20</f>
        <v>50201706</v>
      </c>
      <c r="D17" s="21" t="s">
        <v>53</v>
      </c>
      <c r="E17" s="20" t="str">
        <f>+'Mats+Insumos'!I20</f>
        <v>FALDO</v>
      </c>
      <c r="F17" s="40">
        <v>1</v>
      </c>
      <c r="G17" s="40"/>
      <c r="H17" s="40"/>
      <c r="I17" s="40"/>
      <c r="J17" s="40"/>
      <c r="K17" s="40"/>
      <c r="L17" s="40">
        <f>2+5</f>
        <v>7</v>
      </c>
      <c r="M17" s="40"/>
      <c r="N17" s="40"/>
      <c r="O17" s="40">
        <v>6</v>
      </c>
      <c r="P17" s="40"/>
      <c r="Q17" s="40"/>
      <c r="R17" s="40"/>
      <c r="S17" s="40">
        <v>2</v>
      </c>
      <c r="T17" s="40"/>
      <c r="U17" s="40"/>
      <c r="V17" s="40"/>
      <c r="W17" s="23">
        <f t="shared" si="0"/>
        <v>16</v>
      </c>
    </row>
    <row r="18" spans="2:23" x14ac:dyDescent="0.3">
      <c r="B18" s="18">
        <f>+'Mats+Insumos'!B21</f>
        <v>14</v>
      </c>
      <c r="C18" s="19">
        <f>+'Mats+Insumos'!C21</f>
        <v>44122003</v>
      </c>
      <c r="D18" s="21" t="s">
        <v>55</v>
      </c>
      <c r="E18" s="20" t="str">
        <f>+'Mats+Insumos'!I21</f>
        <v>UNIDAD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3">
        <f t="shared" si="0"/>
        <v>0</v>
      </c>
    </row>
    <row r="19" spans="2:23" x14ac:dyDescent="0.3">
      <c r="B19" s="18">
        <f>+'Mats+Insumos'!B22</f>
        <v>15</v>
      </c>
      <c r="C19" s="19">
        <f>+'Mats+Insumos'!C22</f>
        <v>6</v>
      </c>
      <c r="D19" s="20" t="s">
        <v>57</v>
      </c>
      <c r="E19" s="20" t="str">
        <f>+'Mats+Insumos'!I22</f>
        <v>UNIDAD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>
        <v>1</v>
      </c>
      <c r="Q19" s="40"/>
      <c r="R19" s="40"/>
      <c r="S19" s="40"/>
      <c r="T19" s="40"/>
      <c r="U19" s="40"/>
      <c r="V19" s="40"/>
      <c r="W19" s="23">
        <f t="shared" si="0"/>
        <v>1</v>
      </c>
    </row>
    <row r="20" spans="2:23" x14ac:dyDescent="0.3">
      <c r="B20" s="18">
        <f>+'Mats+Insumos'!B23</f>
        <v>16</v>
      </c>
      <c r="C20" s="19">
        <f>+'Mats+Insumos'!C23</f>
        <v>7</v>
      </c>
      <c r="D20" s="20" t="s">
        <v>58</v>
      </c>
      <c r="E20" s="20" t="str">
        <f>+'Mats+Insumos'!I23</f>
        <v>UNIDAD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23">
        <f t="shared" si="0"/>
        <v>0</v>
      </c>
    </row>
    <row r="21" spans="2:23" x14ac:dyDescent="0.3">
      <c r="B21" s="18">
        <f>+'Mats+Insumos'!B24</f>
        <v>17</v>
      </c>
      <c r="C21" s="19" t="str">
        <f>+'Mats+Insumos'!C24</f>
        <v>44122003</v>
      </c>
      <c r="D21" s="21" t="s">
        <v>60</v>
      </c>
      <c r="E21" s="20" t="str">
        <f>+'Mats+Insumos'!I24</f>
        <v>UNIDAD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3">
        <f t="shared" si="0"/>
        <v>0</v>
      </c>
    </row>
    <row r="22" spans="2:23" x14ac:dyDescent="0.3">
      <c r="B22" s="18">
        <f>+'Mats+Insumos'!B25</f>
        <v>18</v>
      </c>
      <c r="C22" s="19" t="str">
        <f>+'Mats+Insumos'!C25</f>
        <v>44122003</v>
      </c>
      <c r="D22" s="21" t="s">
        <v>61</v>
      </c>
      <c r="E22" s="20" t="str">
        <f>+'Mats+Insumos'!I25</f>
        <v>UNIDAD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>
        <v>3</v>
      </c>
      <c r="Q22" s="40"/>
      <c r="R22" s="40"/>
      <c r="S22" s="40"/>
      <c r="T22" s="40">
        <v>4</v>
      </c>
      <c r="U22" s="40"/>
      <c r="V22" s="40"/>
      <c r="W22" s="23">
        <f t="shared" si="0"/>
        <v>7</v>
      </c>
    </row>
    <row r="23" spans="2:23" x14ac:dyDescent="0.3">
      <c r="B23" s="18">
        <f>+'Mats+Insumos'!B26</f>
        <v>19</v>
      </c>
      <c r="C23" s="19">
        <f>+'Mats+Insumos'!C26</f>
        <v>44122003</v>
      </c>
      <c r="D23" s="21" t="s">
        <v>63</v>
      </c>
      <c r="E23" s="20" t="str">
        <f>+'Mats+Insumos'!I26</f>
        <v>UNIDAD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>
        <v>6</v>
      </c>
      <c r="V23" s="40"/>
      <c r="W23" s="23">
        <f t="shared" si="0"/>
        <v>6</v>
      </c>
    </row>
    <row r="24" spans="2:23" x14ac:dyDescent="0.3">
      <c r="B24" s="18">
        <f>+'Mats+Insumos'!B27</f>
        <v>20</v>
      </c>
      <c r="C24" s="19">
        <f>+'Mats+Insumos'!C27</f>
        <v>44103103</v>
      </c>
      <c r="D24" s="21" t="s">
        <v>65</v>
      </c>
      <c r="E24" s="20" t="str">
        <f>+'Mats+Insumos'!I27</f>
        <v>UNIDAD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23">
        <f t="shared" si="0"/>
        <v>0</v>
      </c>
    </row>
    <row r="25" spans="2:23" x14ac:dyDescent="0.3">
      <c r="B25" s="18">
        <f>+'Mats+Insumos'!B28</f>
        <v>21</v>
      </c>
      <c r="C25" s="19">
        <f>+'Mats+Insumos'!C28</f>
        <v>44103103</v>
      </c>
      <c r="D25" s="21" t="s">
        <v>67</v>
      </c>
      <c r="E25" s="20" t="str">
        <f>+'Mats+Insumos'!I28</f>
        <v>UNIDAD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3">
        <f t="shared" si="0"/>
        <v>0</v>
      </c>
    </row>
    <row r="26" spans="2:23" x14ac:dyDescent="0.3">
      <c r="B26" s="18">
        <f>+'Mats+Insumos'!B29</f>
        <v>22</v>
      </c>
      <c r="C26" s="19">
        <f>+'Mats+Insumos'!C29</f>
        <v>44103103</v>
      </c>
      <c r="D26" s="21" t="s">
        <v>68</v>
      </c>
      <c r="E26" s="20" t="str">
        <f>+'Mats+Insumos'!I29</f>
        <v>UNIDAD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23">
        <f t="shared" si="0"/>
        <v>0</v>
      </c>
    </row>
    <row r="27" spans="2:23" x14ac:dyDescent="0.3">
      <c r="B27" s="18">
        <f>+'Mats+Insumos'!B30</f>
        <v>23</v>
      </c>
      <c r="C27" s="19">
        <f>+'Mats+Insumos'!C30</f>
        <v>44103103</v>
      </c>
      <c r="D27" s="21" t="s">
        <v>70</v>
      </c>
      <c r="E27" s="20" t="str">
        <f>+'Mats+Insumos'!I30</f>
        <v>UNIDAD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23">
        <f t="shared" si="0"/>
        <v>0</v>
      </c>
    </row>
    <row r="28" spans="2:23" x14ac:dyDescent="0.3">
      <c r="B28" s="18">
        <f>+'Mats+Insumos'!B31</f>
        <v>24</v>
      </c>
      <c r="C28" s="19">
        <f>+'Mats+Insumos'!C31</f>
        <v>8</v>
      </c>
      <c r="D28" s="20" t="s">
        <v>71</v>
      </c>
      <c r="E28" s="20" t="str">
        <f>+'Mats+Insumos'!I31</f>
        <v>UNIDAD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3">
        <f t="shared" si="0"/>
        <v>0</v>
      </c>
    </row>
    <row r="29" spans="2:23" x14ac:dyDescent="0.3">
      <c r="B29" s="18">
        <f>+'Mats+Insumos'!B32</f>
        <v>25</v>
      </c>
      <c r="C29" s="19">
        <f>+'Mats+Insumos'!C32</f>
        <v>44121635</v>
      </c>
      <c r="D29" s="21" t="s">
        <v>72</v>
      </c>
      <c r="E29" s="20" t="str">
        <f>+'Mats+Insumos'!I32</f>
        <v>UNIDAD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23">
        <f t="shared" si="0"/>
        <v>0</v>
      </c>
    </row>
    <row r="30" spans="2:23" x14ac:dyDescent="0.3">
      <c r="B30" s="18">
        <f>+'Mats+Insumos'!B33</f>
        <v>26</v>
      </c>
      <c r="C30" s="19">
        <f>+'Mats+Insumos'!C33</f>
        <v>44121635</v>
      </c>
      <c r="D30" s="21" t="s">
        <v>74</v>
      </c>
      <c r="E30" s="20" t="str">
        <f>+'Mats+Insumos'!I33</f>
        <v>UNIDAD</v>
      </c>
      <c r="F30" s="40"/>
      <c r="G30" s="40"/>
      <c r="H30" s="40">
        <f>3+1</f>
        <v>4</v>
      </c>
      <c r="I30" s="40">
        <v>1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>
        <v>3</v>
      </c>
      <c r="V30" s="40"/>
      <c r="W30" s="23">
        <f t="shared" si="0"/>
        <v>8</v>
      </c>
    </row>
    <row r="31" spans="2:23" x14ac:dyDescent="0.3">
      <c r="B31" s="18">
        <f>+'Mats+Insumos'!B34</f>
        <v>27</v>
      </c>
      <c r="C31" s="19" t="str">
        <f>+'Mats+Insumos'!C34</f>
        <v>44101805</v>
      </c>
      <c r="D31" s="21" t="s">
        <v>77</v>
      </c>
      <c r="E31" s="20" t="str">
        <f>+'Mats+Insumos'!I34</f>
        <v>UNIDAD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23">
        <f t="shared" si="0"/>
        <v>0</v>
      </c>
    </row>
    <row r="32" spans="2:23" x14ac:dyDescent="0.3">
      <c r="B32" s="18">
        <f>+'Mats+Insumos'!B35</f>
        <v>28</v>
      </c>
      <c r="C32" s="19">
        <f>+'Mats+Insumos'!C35</f>
        <v>9</v>
      </c>
      <c r="D32" s="20" t="s">
        <v>79</v>
      </c>
      <c r="E32" s="20" t="str">
        <f>+'Mats+Insumos'!I35</f>
        <v>CAJA (12/1)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23">
        <f t="shared" si="0"/>
        <v>0</v>
      </c>
    </row>
    <row r="33" spans="2:23" x14ac:dyDescent="0.3">
      <c r="B33" s="18">
        <f>+'Mats+Insumos'!B36</f>
        <v>29</v>
      </c>
      <c r="C33" s="19" t="str">
        <f>+'Mats+Insumos'!C36</f>
        <v>44122104</v>
      </c>
      <c r="D33" s="21" t="s">
        <v>81</v>
      </c>
      <c r="E33" s="20" t="str">
        <f>+'Mats+Insumos'!I36</f>
        <v>CAJA 12/1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23">
        <f t="shared" si="0"/>
        <v>0</v>
      </c>
    </row>
    <row r="34" spans="2:23" x14ac:dyDescent="0.3">
      <c r="B34" s="18">
        <f>+'Mats+Insumos'!B37</f>
        <v>30</v>
      </c>
      <c r="C34" s="19" t="str">
        <f>+'Mats+Insumos'!C37</f>
        <v>44122104</v>
      </c>
      <c r="D34" s="21" t="s">
        <v>83</v>
      </c>
      <c r="E34" s="20" t="str">
        <f>+'Mats+Insumos'!I37</f>
        <v>CAJA 12/1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23">
        <f t="shared" si="0"/>
        <v>0</v>
      </c>
    </row>
    <row r="35" spans="2:23" x14ac:dyDescent="0.3">
      <c r="B35" s="18">
        <f>+'Mats+Insumos'!B38</f>
        <v>31</v>
      </c>
      <c r="C35" s="19">
        <f>+'Mats+Insumos'!C38</f>
        <v>44122105</v>
      </c>
      <c r="D35" s="21" t="s">
        <v>85</v>
      </c>
      <c r="E35" s="20" t="str">
        <f>+'Mats+Insumos'!I38</f>
        <v>CAJA</v>
      </c>
      <c r="F35" s="40"/>
      <c r="G35" s="40"/>
      <c r="H35" s="40">
        <v>1</v>
      </c>
      <c r="I35" s="40">
        <f>1+1</f>
        <v>2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23">
        <f t="shared" si="0"/>
        <v>3</v>
      </c>
    </row>
    <row r="36" spans="2:23" x14ac:dyDescent="0.3">
      <c r="B36" s="18">
        <f>+'Mats+Insumos'!B39</f>
        <v>32</v>
      </c>
      <c r="C36" s="19">
        <f>+'Mats+Insumos'!C39</f>
        <v>44122105</v>
      </c>
      <c r="D36" s="21" t="s">
        <v>88</v>
      </c>
      <c r="E36" s="20" t="str">
        <f>+'Mats+Insumos'!I39</f>
        <v>CAJA</v>
      </c>
      <c r="F36" s="40"/>
      <c r="G36" s="40"/>
      <c r="H36" s="40">
        <v>1</v>
      </c>
      <c r="I36" s="40">
        <v>1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23">
        <f t="shared" si="0"/>
        <v>2</v>
      </c>
    </row>
    <row r="37" spans="2:23" x14ac:dyDescent="0.3">
      <c r="B37" s="18">
        <f>+'Mats+Insumos'!B40</f>
        <v>33</v>
      </c>
      <c r="C37" s="19" t="str">
        <f>+'Mats+Insumos'!C40</f>
        <v>44122104</v>
      </c>
      <c r="D37" s="21" t="s">
        <v>89</v>
      </c>
      <c r="E37" s="20" t="str">
        <f>+'Mats+Insumos'!I40</f>
        <v>CAJA 12/1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23">
        <f t="shared" si="0"/>
        <v>0</v>
      </c>
    </row>
    <row r="38" spans="2:23" x14ac:dyDescent="0.3">
      <c r="B38" s="18">
        <f>+'Mats+Insumos'!B41</f>
        <v>34</v>
      </c>
      <c r="C38" s="19">
        <f>+'Mats+Insumos'!C41</f>
        <v>12141901</v>
      </c>
      <c r="D38" s="21" t="s">
        <v>91</v>
      </c>
      <c r="E38" s="20" t="str">
        <f>+'Mats+Insumos'!I41</f>
        <v>GALONES</v>
      </c>
      <c r="F38" s="40">
        <f>1+1+1+4</f>
        <v>7</v>
      </c>
      <c r="G38" s="40"/>
      <c r="H38" s="40"/>
      <c r="I38" s="40"/>
      <c r="J38" s="40"/>
      <c r="K38" s="40"/>
      <c r="L38" s="40"/>
      <c r="M38" s="40"/>
      <c r="N38" s="40"/>
      <c r="O38" s="40">
        <v>8</v>
      </c>
      <c r="P38" s="40"/>
      <c r="Q38" s="40"/>
      <c r="R38" s="40"/>
      <c r="S38" s="40">
        <v>10</v>
      </c>
      <c r="T38" s="40"/>
      <c r="U38" s="40"/>
      <c r="V38" s="40"/>
      <c r="W38" s="23">
        <f t="shared" si="0"/>
        <v>25</v>
      </c>
    </row>
    <row r="39" spans="2:23" x14ac:dyDescent="0.3">
      <c r="B39" s="18">
        <f>+'Mats+Insumos'!B42</f>
        <v>35</v>
      </c>
      <c r="C39" s="19">
        <f>+'Mats+Insumos'!C42</f>
        <v>10</v>
      </c>
      <c r="D39" s="20" t="s">
        <v>295</v>
      </c>
      <c r="E39" s="20" t="str">
        <f>+'Mats+Insumos'!I42</f>
        <v>UNIDAD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>
        <v>12</v>
      </c>
      <c r="T39" s="40"/>
      <c r="U39" s="40"/>
      <c r="V39" s="40"/>
      <c r="W39" s="23">
        <f t="shared" si="0"/>
        <v>12</v>
      </c>
    </row>
    <row r="40" spans="2:23" x14ac:dyDescent="0.3">
      <c r="B40" s="18">
        <f>+'Mats+Insumos'!B43</f>
        <v>36</v>
      </c>
      <c r="C40" s="19">
        <f>+'Mats+Insumos'!C43</f>
        <v>11</v>
      </c>
      <c r="D40" s="20" t="s">
        <v>296</v>
      </c>
      <c r="E40" s="20" t="str">
        <f>+'Mats+Insumos'!I43</f>
        <v>UNIDAD</v>
      </c>
      <c r="F40" s="40"/>
      <c r="G40" s="40"/>
      <c r="H40" s="40"/>
      <c r="I40" s="40"/>
      <c r="J40" s="40"/>
      <c r="K40" s="40"/>
      <c r="L40" s="40"/>
      <c r="M40" s="40"/>
      <c r="N40" s="40"/>
      <c r="O40" s="40">
        <v>4</v>
      </c>
      <c r="P40" s="40"/>
      <c r="Q40" s="40"/>
      <c r="R40" s="40"/>
      <c r="S40" s="40">
        <v>8</v>
      </c>
      <c r="T40" s="40"/>
      <c r="U40" s="40"/>
      <c r="V40" s="40"/>
      <c r="W40" s="23">
        <f t="shared" si="0"/>
        <v>12</v>
      </c>
    </row>
    <row r="41" spans="2:23" x14ac:dyDescent="0.3">
      <c r="B41" s="18">
        <f>+'Mats+Insumos'!B44</f>
        <v>37</v>
      </c>
      <c r="C41" s="19">
        <f>+'Mats+Insumos'!C44</f>
        <v>5020174</v>
      </c>
      <c r="D41" s="21" t="s">
        <v>96</v>
      </c>
      <c r="E41" s="20" t="str">
        <f>+'Mats+Insumos'!I44</f>
        <v>UNIDAD</v>
      </c>
      <c r="F41" s="40">
        <f>1+2+1+2</f>
        <v>6</v>
      </c>
      <c r="G41" s="40"/>
      <c r="H41" s="40"/>
      <c r="I41" s="40"/>
      <c r="J41" s="40"/>
      <c r="K41" s="40"/>
      <c r="L41" s="40">
        <v>6</v>
      </c>
      <c r="M41" s="40"/>
      <c r="N41" s="40"/>
      <c r="O41" s="40">
        <v>6</v>
      </c>
      <c r="P41" s="40"/>
      <c r="Q41" s="40"/>
      <c r="R41" s="40"/>
      <c r="S41" s="40">
        <v>4</v>
      </c>
      <c r="T41" s="40"/>
      <c r="U41" s="40"/>
      <c r="V41" s="40"/>
      <c r="W41" s="23">
        <f t="shared" si="0"/>
        <v>22</v>
      </c>
    </row>
    <row r="42" spans="2:23" x14ac:dyDescent="0.3">
      <c r="B42" s="18">
        <f>+'Mats+Insumos'!B45</f>
        <v>38</v>
      </c>
      <c r="C42" s="19">
        <f>+'Mats+Insumos'!C45</f>
        <v>47121806</v>
      </c>
      <c r="D42" s="21" t="s">
        <v>98</v>
      </c>
      <c r="E42" s="20" t="str">
        <f>+'Mats+Insumos'!I45</f>
        <v>UNIDAD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23">
        <f t="shared" si="0"/>
        <v>0</v>
      </c>
    </row>
    <row r="43" spans="2:23" x14ac:dyDescent="0.3">
      <c r="B43" s="18">
        <f>+'Mats+Insumos'!B46</f>
        <v>39</v>
      </c>
      <c r="C43" s="19">
        <f>+'Mats+Insumos'!C46</f>
        <v>44122005</v>
      </c>
      <c r="D43" s="21" t="s">
        <v>101</v>
      </c>
      <c r="E43" s="20" t="str">
        <f>+'Mats+Insumos'!I46</f>
        <v>PAQUETE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23">
        <f t="shared" si="0"/>
        <v>0</v>
      </c>
    </row>
    <row r="44" spans="2:23" x14ac:dyDescent="0.3">
      <c r="B44" s="18">
        <f>+'Mats+Insumos'!B47</f>
        <v>40</v>
      </c>
      <c r="C44" s="19">
        <f>+'Mats+Insumos'!C47</f>
        <v>12</v>
      </c>
      <c r="D44" s="20" t="s">
        <v>103</v>
      </c>
      <c r="E44" s="20" t="str">
        <f>+'Mats+Insumos'!I47</f>
        <v>UNIDAD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3">
        <f t="shared" si="0"/>
        <v>0</v>
      </c>
    </row>
    <row r="45" spans="2:23" x14ac:dyDescent="0.3">
      <c r="B45" s="18">
        <f>+'Mats+Insumos'!B48</f>
        <v>41</v>
      </c>
      <c r="C45" s="19">
        <f>+'Mats+Insumos'!C48</f>
        <v>13</v>
      </c>
      <c r="D45" s="20" t="s">
        <v>297</v>
      </c>
      <c r="E45" s="20" t="str">
        <f>+'Mats+Insumos'!I48</f>
        <v>UNIDAD</v>
      </c>
      <c r="F45" s="40"/>
      <c r="G45" s="40"/>
      <c r="H45" s="40">
        <v>6</v>
      </c>
      <c r="I45" s="40"/>
      <c r="J45" s="40"/>
      <c r="K45" s="40"/>
      <c r="L45" s="40"/>
      <c r="M45" s="40"/>
      <c r="N45" s="40"/>
      <c r="O45" s="40">
        <v>4</v>
      </c>
      <c r="P45" s="40"/>
      <c r="Q45" s="40"/>
      <c r="R45" s="40"/>
      <c r="S45" s="40"/>
      <c r="T45" s="40"/>
      <c r="U45" s="40"/>
      <c r="V45" s="40"/>
      <c r="W45" s="23">
        <f t="shared" si="0"/>
        <v>10</v>
      </c>
    </row>
    <row r="46" spans="2:23" x14ac:dyDescent="0.3">
      <c r="B46" s="18">
        <f>+'Mats+Insumos'!B49</f>
        <v>42</v>
      </c>
      <c r="C46" s="19">
        <f>+'Mats+Insumos'!C49</f>
        <v>14</v>
      </c>
      <c r="D46" s="20" t="s">
        <v>298</v>
      </c>
      <c r="E46" s="20" t="str">
        <f>+'Mats+Insumos'!I49</f>
        <v>UNIDAD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23">
        <f t="shared" si="0"/>
        <v>0</v>
      </c>
    </row>
    <row r="47" spans="2:23" x14ac:dyDescent="0.3">
      <c r="B47" s="18">
        <f>+'Mats+Insumos'!B50</f>
        <v>43</v>
      </c>
      <c r="C47" s="19">
        <f>+'Mats+Insumos'!C50</f>
        <v>15</v>
      </c>
      <c r="D47" s="20" t="s">
        <v>299</v>
      </c>
      <c r="E47" s="20" t="str">
        <f>+'Mats+Insumos'!I50</f>
        <v>UNIDAD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23">
        <f t="shared" si="0"/>
        <v>0</v>
      </c>
    </row>
    <row r="48" spans="2:23" x14ac:dyDescent="0.3">
      <c r="B48" s="18">
        <f>+'Mats+Insumos'!B51</f>
        <v>44</v>
      </c>
      <c r="C48" s="19">
        <f>+'Mats+Insumos'!C51</f>
        <v>16</v>
      </c>
      <c r="D48" s="20" t="s">
        <v>300</v>
      </c>
      <c r="E48" s="20" t="str">
        <f>+'Mats+Insumos'!I51</f>
        <v>GALON</v>
      </c>
      <c r="F48" s="40"/>
      <c r="G48" s="40"/>
      <c r="H48" s="40"/>
      <c r="I48" s="40"/>
      <c r="J48" s="40"/>
      <c r="K48" s="40"/>
      <c r="L48" s="40">
        <v>2</v>
      </c>
      <c r="M48" s="40"/>
      <c r="N48" s="40"/>
      <c r="O48" s="40">
        <v>3</v>
      </c>
      <c r="P48" s="40"/>
      <c r="Q48" s="40"/>
      <c r="R48" s="40"/>
      <c r="S48" s="40">
        <v>5</v>
      </c>
      <c r="T48" s="40"/>
      <c r="U48" s="40"/>
      <c r="V48" s="40"/>
      <c r="W48" s="23">
        <f t="shared" si="0"/>
        <v>10</v>
      </c>
    </row>
    <row r="49" spans="2:23" x14ac:dyDescent="0.3">
      <c r="B49" s="18">
        <f>+'Mats+Insumos'!B52</f>
        <v>45</v>
      </c>
      <c r="C49" s="19">
        <f>+'Mats+Insumos'!C52</f>
        <v>47131803</v>
      </c>
      <c r="D49" s="21" t="s">
        <v>108</v>
      </c>
      <c r="E49" s="20" t="str">
        <f>+'Mats+Insumos'!I52</f>
        <v>GALON</v>
      </c>
      <c r="F49" s="40">
        <f>2+2+2+4</f>
        <v>10</v>
      </c>
      <c r="G49" s="40"/>
      <c r="H49" s="40"/>
      <c r="I49" s="40"/>
      <c r="J49" s="40"/>
      <c r="K49" s="40"/>
      <c r="L49" s="40">
        <f>5+12</f>
        <v>17</v>
      </c>
      <c r="M49" s="40"/>
      <c r="N49" s="40"/>
      <c r="O49" s="40">
        <v>13</v>
      </c>
      <c r="P49" s="40"/>
      <c r="Q49" s="40"/>
      <c r="R49" s="40"/>
      <c r="S49" s="40">
        <v>10</v>
      </c>
      <c r="T49" s="40"/>
      <c r="U49" s="40"/>
      <c r="V49" s="40"/>
      <c r="W49" s="23">
        <f t="shared" si="0"/>
        <v>50</v>
      </c>
    </row>
    <row r="50" spans="2:23" x14ac:dyDescent="0.3">
      <c r="B50" s="18">
        <f>+'Mats+Insumos'!B53</f>
        <v>46</v>
      </c>
      <c r="C50" s="19">
        <f>+'Mats+Insumos'!C53</f>
        <v>47131805</v>
      </c>
      <c r="D50" s="21" t="s">
        <v>110</v>
      </c>
      <c r="E50" s="20" t="str">
        <f>+'Mats+Insumos'!I53</f>
        <v>SACO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23">
        <f t="shared" si="0"/>
        <v>0</v>
      </c>
    </row>
    <row r="51" spans="2:23" x14ac:dyDescent="0.3">
      <c r="B51" s="18">
        <f>+'Mats+Insumos'!B54</f>
        <v>47</v>
      </c>
      <c r="C51" s="19">
        <f>+'Mats+Insumos'!C54</f>
        <v>44121605</v>
      </c>
      <c r="D51" s="21" t="s">
        <v>113</v>
      </c>
      <c r="E51" s="20" t="str">
        <f>+'Mats+Insumos'!I54</f>
        <v>UNIDAD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23">
        <f t="shared" si="0"/>
        <v>0</v>
      </c>
    </row>
    <row r="52" spans="2:23" x14ac:dyDescent="0.3">
      <c r="B52" s="18">
        <f>+'Mats+Insumos'!B55</f>
        <v>48</v>
      </c>
      <c r="C52" s="19">
        <f>+'Mats+Insumos'!C55</f>
        <v>47131604</v>
      </c>
      <c r="D52" s="21" t="s">
        <v>115</v>
      </c>
      <c r="E52" s="20" t="str">
        <f>+'Mats+Insumos'!I55</f>
        <v>UNIDAD</v>
      </c>
      <c r="F52" s="40"/>
      <c r="G52" s="40"/>
      <c r="H52" s="40"/>
      <c r="I52" s="40"/>
      <c r="J52" s="40"/>
      <c r="K52" s="40"/>
      <c r="L52" s="40">
        <v>2</v>
      </c>
      <c r="M52" s="40"/>
      <c r="N52" s="40"/>
      <c r="O52" s="40"/>
      <c r="P52" s="40"/>
      <c r="Q52" s="40"/>
      <c r="R52" s="40"/>
      <c r="S52" s="40">
        <v>2</v>
      </c>
      <c r="T52" s="40"/>
      <c r="U52" s="40"/>
      <c r="V52" s="40"/>
      <c r="W52" s="23">
        <f t="shared" si="0"/>
        <v>4</v>
      </c>
    </row>
    <row r="53" spans="2:23" x14ac:dyDescent="0.3">
      <c r="B53" s="18">
        <f>+'Mats+Insumos'!B56</f>
        <v>49</v>
      </c>
      <c r="C53" s="19">
        <f>+'Mats+Insumos'!C56</f>
        <v>47131604</v>
      </c>
      <c r="D53" s="21" t="s">
        <v>119</v>
      </c>
      <c r="E53" s="20" t="str">
        <f>+'Mats+Insumos'!I56</f>
        <v>UNIDAD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23">
        <f t="shared" si="0"/>
        <v>0</v>
      </c>
    </row>
    <row r="54" spans="2:23" x14ac:dyDescent="0.3">
      <c r="B54" s="18">
        <f>+'Mats+Insumos'!B57</f>
        <v>50</v>
      </c>
      <c r="C54" s="19">
        <f>+'Mats+Insumos'!C57</f>
        <v>17</v>
      </c>
      <c r="D54" s="20" t="s">
        <v>121</v>
      </c>
      <c r="E54" s="20" t="str">
        <f>+'Mats+Insumos'!I57</f>
        <v>UNIDAD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23">
        <f t="shared" si="0"/>
        <v>0</v>
      </c>
    </row>
    <row r="55" spans="2:23" x14ac:dyDescent="0.3">
      <c r="B55" s="18">
        <f>+'Mats+Insumos'!B58</f>
        <v>51</v>
      </c>
      <c r="C55" s="19">
        <f>+'Mats+Insumos'!C58</f>
        <v>18</v>
      </c>
      <c r="D55" s="20" t="s">
        <v>301</v>
      </c>
      <c r="E55" s="20" t="str">
        <f>+'Mats+Insumos'!I58</f>
        <v>UNIDAD</v>
      </c>
      <c r="F55" s="40">
        <v>2</v>
      </c>
      <c r="G55" s="40"/>
      <c r="H55" s="40"/>
      <c r="I55" s="40"/>
      <c r="J55" s="40"/>
      <c r="K55" s="40"/>
      <c r="L55" s="40">
        <f>5+25</f>
        <v>30</v>
      </c>
      <c r="M55" s="40"/>
      <c r="N55" s="40"/>
      <c r="O55" s="40">
        <v>2</v>
      </c>
      <c r="P55" s="40"/>
      <c r="Q55" s="40"/>
      <c r="R55" s="40"/>
      <c r="S55" s="40"/>
      <c r="T55" s="40"/>
      <c r="U55" s="40"/>
      <c r="V55" s="40"/>
      <c r="W55" s="23">
        <f t="shared" si="0"/>
        <v>34</v>
      </c>
    </row>
    <row r="56" spans="2:23" x14ac:dyDescent="0.3">
      <c r="B56" s="18">
        <f>+'Mats+Insumos'!B59</f>
        <v>52</v>
      </c>
      <c r="C56" s="19" t="str">
        <f>+'Mats+Insumos'!C59</f>
        <v>44122011</v>
      </c>
      <c r="D56" s="21" t="s">
        <v>124</v>
      </c>
      <c r="E56" s="20" t="str">
        <f>+'Mats+Insumos'!I59</f>
        <v>CAJA</v>
      </c>
      <c r="F56" s="40"/>
      <c r="G56" s="40"/>
      <c r="H56" s="40">
        <v>6</v>
      </c>
      <c r="I56" s="40">
        <f>6+1</f>
        <v>7</v>
      </c>
      <c r="J56" s="40"/>
      <c r="K56" s="40"/>
      <c r="L56" s="40">
        <v>1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23">
        <f t="shared" si="0"/>
        <v>14</v>
      </c>
    </row>
    <row r="57" spans="2:23" x14ac:dyDescent="0.3">
      <c r="B57" s="18">
        <f>+'Mats+Insumos'!B60</f>
        <v>53</v>
      </c>
      <c r="C57" s="19" t="str">
        <f>+'Mats+Insumos'!C60</f>
        <v>44122011</v>
      </c>
      <c r="D57" s="21" t="s">
        <v>126</v>
      </c>
      <c r="E57" s="20" t="str">
        <f>+'Mats+Insumos'!I60</f>
        <v>PAQUETE</v>
      </c>
      <c r="F57" s="40"/>
      <c r="G57" s="40"/>
      <c r="H57" s="40">
        <v>3</v>
      </c>
      <c r="I57" s="40">
        <v>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23">
        <f t="shared" si="0"/>
        <v>6</v>
      </c>
    </row>
    <row r="58" spans="2:23" x14ac:dyDescent="0.3">
      <c r="B58" s="18">
        <f>+'Mats+Insumos'!B61</f>
        <v>54</v>
      </c>
      <c r="C58" s="19">
        <f>+'Mats+Insumos'!C61</f>
        <v>44122011</v>
      </c>
      <c r="D58" s="21" t="s">
        <v>127</v>
      </c>
      <c r="E58" s="20" t="str">
        <f>+'Mats+Insumos'!I61</f>
        <v>UNIDAD</v>
      </c>
      <c r="F58" s="40"/>
      <c r="G58" s="40"/>
      <c r="H58" s="40"/>
      <c r="I58" s="40"/>
      <c r="J58" s="40"/>
      <c r="K58" s="40"/>
      <c r="L58" s="40">
        <v>1</v>
      </c>
      <c r="M58" s="40"/>
      <c r="N58" s="40"/>
      <c r="O58" s="40"/>
      <c r="P58" s="40"/>
      <c r="Q58" s="40"/>
      <c r="R58" s="40"/>
      <c r="S58" s="40"/>
      <c r="T58" s="40">
        <v>4</v>
      </c>
      <c r="U58" s="40"/>
      <c r="V58" s="40"/>
      <c r="W58" s="23">
        <f t="shared" si="0"/>
        <v>5</v>
      </c>
    </row>
    <row r="59" spans="2:23" x14ac:dyDescent="0.3">
      <c r="B59" s="18">
        <f>+'Mats+Insumos'!B62</f>
        <v>55</v>
      </c>
      <c r="C59" s="19">
        <f>+'Mats+Insumos'!C62</f>
        <v>47121708</v>
      </c>
      <c r="D59" s="21" t="s">
        <v>129</v>
      </c>
      <c r="E59" s="20" t="str">
        <f>+'Mats+Insumos'!I62</f>
        <v>FARDO</v>
      </c>
      <c r="F59" s="40">
        <f>1+1+2</f>
        <v>4</v>
      </c>
      <c r="G59" s="40"/>
      <c r="H59" s="40"/>
      <c r="I59" s="40"/>
      <c r="J59" s="40"/>
      <c r="K59" s="40"/>
      <c r="L59" s="40">
        <v>2</v>
      </c>
      <c r="M59" s="40"/>
      <c r="N59" s="40"/>
      <c r="O59" s="40">
        <v>1</v>
      </c>
      <c r="P59" s="40"/>
      <c r="Q59" s="40"/>
      <c r="R59" s="40"/>
      <c r="S59" s="40"/>
      <c r="T59" s="40"/>
      <c r="U59" s="40"/>
      <c r="V59" s="40"/>
      <c r="W59" s="23">
        <f t="shared" si="0"/>
        <v>7</v>
      </c>
    </row>
    <row r="60" spans="2:23" x14ac:dyDescent="0.3">
      <c r="B60" s="18">
        <f>+'Mats+Insumos'!B63</f>
        <v>56</v>
      </c>
      <c r="C60" s="19">
        <f>+'Mats+Insumos'!C63</f>
        <v>47121701</v>
      </c>
      <c r="D60" s="21" t="s">
        <v>131</v>
      </c>
      <c r="E60" s="28" t="str">
        <f>+'Mats+Insumos'!I63</f>
        <v>FARDO</v>
      </c>
      <c r="F60" s="40">
        <f>1+1+1+2</f>
        <v>5</v>
      </c>
      <c r="G60" s="40"/>
      <c r="H60" s="40"/>
      <c r="I60" s="40"/>
      <c r="J60" s="40"/>
      <c r="K60" s="40"/>
      <c r="L60" s="40">
        <v>9</v>
      </c>
      <c r="M60" s="40"/>
      <c r="N60" s="40"/>
      <c r="O60" s="40">
        <f>1+1</f>
        <v>2</v>
      </c>
      <c r="P60" s="40"/>
      <c r="Q60" s="40"/>
      <c r="R60" s="40"/>
      <c r="S60" s="40">
        <v>5</v>
      </c>
      <c r="T60" s="40"/>
      <c r="U60" s="40"/>
      <c r="V60" s="40"/>
      <c r="W60" s="23">
        <f t="shared" si="0"/>
        <v>21</v>
      </c>
    </row>
    <row r="61" spans="2:23" x14ac:dyDescent="0.3">
      <c r="B61" s="18">
        <f>+'Mats+Insumos'!B64</f>
        <v>57</v>
      </c>
      <c r="C61" s="19">
        <f>+'Mats+Insumos'!C64</f>
        <v>19</v>
      </c>
      <c r="D61" s="20" t="s">
        <v>133</v>
      </c>
      <c r="E61" s="20" t="str">
        <f>+'Mats+Insumos'!I64</f>
        <v>GALON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23">
        <f t="shared" si="0"/>
        <v>0</v>
      </c>
    </row>
    <row r="62" spans="2:23" x14ac:dyDescent="0.3">
      <c r="B62" s="18">
        <f>+'Mats+Insumos'!B65</f>
        <v>58</v>
      </c>
      <c r="C62" s="19">
        <f>+'Mats+Insumos'!C65</f>
        <v>20</v>
      </c>
      <c r="D62" s="20" t="s">
        <v>302</v>
      </c>
      <c r="E62" s="20" t="str">
        <f>+'Mats+Insumos'!I65</f>
        <v>UNIDAD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23">
        <f t="shared" si="0"/>
        <v>0</v>
      </c>
    </row>
    <row r="63" spans="2:23" x14ac:dyDescent="0.3">
      <c r="B63" s="18">
        <f>+'Mats+Insumos'!B66</f>
        <v>59</v>
      </c>
      <c r="C63" s="19">
        <f>+'Mats+Insumos'!C66</f>
        <v>21</v>
      </c>
      <c r="D63" s="20" t="s">
        <v>303</v>
      </c>
      <c r="E63" s="20" t="str">
        <f>+'Mats+Insumos'!I66</f>
        <v>UNIDAD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23">
        <f t="shared" si="0"/>
        <v>0</v>
      </c>
    </row>
    <row r="64" spans="2:23" x14ac:dyDescent="0.3">
      <c r="B64" s="18">
        <f>+'Mats+Insumos'!B67</f>
        <v>60</v>
      </c>
      <c r="C64" s="19">
        <f>+'Mats+Insumos'!C67</f>
        <v>22</v>
      </c>
      <c r="D64" s="20" t="s">
        <v>304</v>
      </c>
      <c r="E64" s="20" t="str">
        <f>+'Mats+Insumos'!I67</f>
        <v>UNIDAD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>
        <v>1</v>
      </c>
      <c r="V64" s="40"/>
      <c r="W64" s="23">
        <f t="shared" si="0"/>
        <v>1</v>
      </c>
    </row>
    <row r="65" spans="2:23" x14ac:dyDescent="0.3">
      <c r="B65" s="18">
        <f>+'Mats+Insumos'!B68</f>
        <v>61</v>
      </c>
      <c r="C65" s="19">
        <f>+'Mats+Insumos'!C68</f>
        <v>23</v>
      </c>
      <c r="D65" s="20" t="s">
        <v>305</v>
      </c>
      <c r="E65" s="20" t="str">
        <f>+'Mats+Insumos'!I68</f>
        <v>UNIDAD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23">
        <f t="shared" si="0"/>
        <v>0</v>
      </c>
    </row>
    <row r="66" spans="2:23" x14ac:dyDescent="0.3">
      <c r="B66" s="18">
        <f>+'Mats+Insumos'!B69</f>
        <v>62</v>
      </c>
      <c r="C66" s="19" t="str">
        <f>+'Mats+Insumos'!C69</f>
        <v>44122107</v>
      </c>
      <c r="D66" s="21" t="s">
        <v>139</v>
      </c>
      <c r="E66" s="20" t="str">
        <f>+'Mats+Insumos'!I69</f>
        <v>UNIDAD</v>
      </c>
      <c r="F66" s="40"/>
      <c r="G66" s="40"/>
      <c r="H66" s="40"/>
      <c r="I66" s="40">
        <v>2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23">
        <f t="shared" si="0"/>
        <v>2</v>
      </c>
    </row>
    <row r="67" spans="2:23" x14ac:dyDescent="0.3">
      <c r="B67" s="18">
        <f>+'Mats+Insumos'!B70</f>
        <v>63</v>
      </c>
      <c r="C67" s="19">
        <f>+'Mats+Insumos'!C70</f>
        <v>24</v>
      </c>
      <c r="D67" s="20" t="s">
        <v>141</v>
      </c>
      <c r="E67" s="20" t="str">
        <f>+'Mats+Insumos'!I70</f>
        <v>CAJA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23">
        <f t="shared" si="0"/>
        <v>0</v>
      </c>
    </row>
    <row r="68" spans="2:23" x14ac:dyDescent="0.3">
      <c r="B68" s="18">
        <f>+'Mats+Insumos'!B71</f>
        <v>64</v>
      </c>
      <c r="C68" s="19">
        <f>+'Mats+Insumos'!C71</f>
        <v>44121615</v>
      </c>
      <c r="D68" s="21" t="s">
        <v>142</v>
      </c>
      <c r="E68" s="20" t="str">
        <f>+'Mats+Insumos'!I71</f>
        <v>UNIDAD</v>
      </c>
      <c r="F68" s="40"/>
      <c r="G68" s="40"/>
      <c r="H68" s="40"/>
      <c r="I68" s="40">
        <v>1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23">
        <f t="shared" si="0"/>
        <v>1</v>
      </c>
    </row>
    <row r="69" spans="2:23" x14ac:dyDescent="0.3">
      <c r="B69" s="18">
        <f>+'Mats+Insumos'!B72</f>
        <v>65</v>
      </c>
      <c r="C69" s="19">
        <f>+'Mats+Insumos'!C72</f>
        <v>25</v>
      </c>
      <c r="D69" s="20" t="s">
        <v>144</v>
      </c>
      <c r="E69" s="20" t="str">
        <f>+'Mats+Insumos'!I72</f>
        <v>UNIDAD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>
        <v>6</v>
      </c>
      <c r="T69" s="40"/>
      <c r="U69" s="40"/>
      <c r="V69" s="40"/>
      <c r="W69" s="23">
        <f t="shared" si="0"/>
        <v>6</v>
      </c>
    </row>
    <row r="70" spans="2:23" x14ac:dyDescent="0.3">
      <c r="B70" s="18">
        <f>+'Mats+Insumos'!B73</f>
        <v>66</v>
      </c>
      <c r="C70" s="19">
        <f>+'Mats+Insumos'!C73</f>
        <v>47131810</v>
      </c>
      <c r="D70" s="21" t="s">
        <v>145</v>
      </c>
      <c r="E70" s="20" t="str">
        <f>+'Mats+Insumos'!I73</f>
        <v>GALONES</v>
      </c>
      <c r="F70" s="40">
        <f>1+1+1+2</f>
        <v>5</v>
      </c>
      <c r="G70" s="40"/>
      <c r="H70" s="40"/>
      <c r="I70" s="40"/>
      <c r="J70" s="40"/>
      <c r="K70" s="40"/>
      <c r="L70" s="40">
        <f>5+4</f>
        <v>9</v>
      </c>
      <c r="M70" s="40"/>
      <c r="N70" s="40"/>
      <c r="O70" s="40">
        <f>2+5</f>
        <v>7</v>
      </c>
      <c r="P70" s="40"/>
      <c r="Q70" s="40"/>
      <c r="R70" s="40"/>
      <c r="S70" s="40">
        <v>8</v>
      </c>
      <c r="T70" s="40"/>
      <c r="U70" s="40"/>
      <c r="V70" s="40"/>
      <c r="W70" s="23">
        <f t="shared" ref="W70:W132" si="1">SUM(F70:V70)</f>
        <v>29</v>
      </c>
    </row>
    <row r="71" spans="2:23" x14ac:dyDescent="0.3">
      <c r="B71" s="18">
        <f>+'Mats+Insumos'!B74</f>
        <v>67</v>
      </c>
      <c r="C71" s="19">
        <f>+'Mats+Insumos'!C74</f>
        <v>47131810</v>
      </c>
      <c r="D71" s="21" t="s">
        <v>146</v>
      </c>
      <c r="E71" s="20" t="str">
        <f>+'Mats+Insumos'!I74</f>
        <v>GALONES</v>
      </c>
      <c r="F71" s="40">
        <f>1+1+1+4</f>
        <v>7</v>
      </c>
      <c r="G71" s="40"/>
      <c r="H71" s="40"/>
      <c r="I71" s="40"/>
      <c r="J71" s="40"/>
      <c r="K71" s="40"/>
      <c r="L71" s="40">
        <f>5+4</f>
        <v>9</v>
      </c>
      <c r="M71" s="40"/>
      <c r="N71" s="40"/>
      <c r="O71" s="40">
        <v>3</v>
      </c>
      <c r="P71" s="40"/>
      <c r="Q71" s="40"/>
      <c r="R71" s="40"/>
      <c r="S71" s="40">
        <v>10</v>
      </c>
      <c r="T71" s="40"/>
      <c r="U71" s="40"/>
      <c r="V71" s="40"/>
      <c r="W71" s="23">
        <f t="shared" si="1"/>
        <v>29</v>
      </c>
    </row>
    <row r="72" spans="2:23" x14ac:dyDescent="0.3">
      <c r="B72" s="18">
        <f>+'Mats+Insumos'!B75</f>
        <v>68</v>
      </c>
      <c r="C72" s="19">
        <f>+'Mats+Insumos'!C75</f>
        <v>26</v>
      </c>
      <c r="D72" s="20" t="s">
        <v>306</v>
      </c>
      <c r="E72" s="20" t="str">
        <f>+'Mats+Insumos'!I75</f>
        <v>UNIDAD</v>
      </c>
      <c r="F72" s="40"/>
      <c r="G72" s="40"/>
      <c r="H72" s="40"/>
      <c r="I72" s="40"/>
      <c r="J72" s="40"/>
      <c r="K72" s="40"/>
      <c r="L72" s="40"/>
      <c r="M72" s="40"/>
      <c r="N72" s="40"/>
      <c r="O72" s="40">
        <v>2</v>
      </c>
      <c r="P72" s="40"/>
      <c r="Q72" s="40"/>
      <c r="R72" s="40"/>
      <c r="S72" s="40"/>
      <c r="T72" s="40"/>
      <c r="U72" s="40"/>
      <c r="V72" s="40"/>
      <c r="W72" s="23">
        <f t="shared" si="1"/>
        <v>2</v>
      </c>
    </row>
    <row r="73" spans="2:23" x14ac:dyDescent="0.3">
      <c r="B73" s="18">
        <f>+'Mats+Insumos'!B76</f>
        <v>69</v>
      </c>
      <c r="C73" s="19" t="str">
        <f>+'Mats+Insumos'!C76</f>
        <v>55121504</v>
      </c>
      <c r="D73" s="21" t="s">
        <v>149</v>
      </c>
      <c r="E73" s="20" t="str">
        <f>+'Mats+Insumos'!I76</f>
        <v>PAQUETE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>
        <v>1</v>
      </c>
      <c r="V73" s="40"/>
      <c r="W73" s="23">
        <f t="shared" si="1"/>
        <v>1</v>
      </c>
    </row>
    <row r="74" spans="2:23" x14ac:dyDescent="0.3">
      <c r="B74" s="18">
        <f>+'Mats+Insumos'!B77</f>
        <v>70</v>
      </c>
      <c r="C74" s="19">
        <f>+'Mats+Insumos'!C77</f>
        <v>44121706</v>
      </c>
      <c r="D74" s="21" t="s">
        <v>151</v>
      </c>
      <c r="E74" s="20" t="str">
        <f>+'Mats+Insumos'!I77</f>
        <v>DOCENA</v>
      </c>
      <c r="F74" s="40"/>
      <c r="G74" s="40"/>
      <c r="H74" s="40"/>
      <c r="I74" s="40">
        <v>2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23">
        <f t="shared" si="1"/>
        <v>2</v>
      </c>
    </row>
    <row r="75" spans="2:23" x14ac:dyDescent="0.3">
      <c r="B75" s="18">
        <f>+'Mats+Insumos'!B78</f>
        <v>71</v>
      </c>
      <c r="C75" s="19">
        <f>+'Mats+Insumos'!C78</f>
        <v>27</v>
      </c>
      <c r="D75" s="20" t="s">
        <v>307</v>
      </c>
      <c r="E75" s="20" t="str">
        <f>+'Mats+Insumos'!I78</f>
        <v>UNIDAD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23">
        <f t="shared" si="1"/>
        <v>0</v>
      </c>
    </row>
    <row r="76" spans="2:23" x14ac:dyDescent="0.3">
      <c r="B76" s="18">
        <f>+'Mats+Insumos'!B79</f>
        <v>72</v>
      </c>
      <c r="C76" s="19">
        <f>+'Mats+Insumos'!C79</f>
        <v>28</v>
      </c>
      <c r="D76" s="20" t="s">
        <v>308</v>
      </c>
      <c r="E76" s="20" t="str">
        <f>+'Mats+Insumos'!I79</f>
        <v>UNIDAD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23">
        <f t="shared" si="1"/>
        <v>0</v>
      </c>
    </row>
    <row r="77" spans="2:23" x14ac:dyDescent="0.3">
      <c r="B77" s="18">
        <f>+'Mats+Insumos'!B80</f>
        <v>73</v>
      </c>
      <c r="C77" s="19">
        <f>+'Mats+Insumos'!C80</f>
        <v>12161801</v>
      </c>
      <c r="D77" s="21" t="s">
        <v>155</v>
      </c>
      <c r="E77" s="20" t="str">
        <f>+'Mats+Insumos'!I80</f>
        <v>UNIDAD</v>
      </c>
      <c r="F77" s="40"/>
      <c r="G77" s="40"/>
      <c r="H77" s="40"/>
      <c r="I77" s="40"/>
      <c r="J77" s="40"/>
      <c r="K77" s="40"/>
      <c r="L77" s="40">
        <v>4</v>
      </c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23">
        <f t="shared" si="1"/>
        <v>4</v>
      </c>
    </row>
    <row r="78" spans="2:23" x14ac:dyDescent="0.3">
      <c r="B78" s="18">
        <f>+'Mats+Insumos'!B81</f>
        <v>74</v>
      </c>
      <c r="C78" s="19">
        <f>+'Mats+Insumos'!C81</f>
        <v>47131514</v>
      </c>
      <c r="D78" s="21" t="s">
        <v>157</v>
      </c>
      <c r="E78" s="20" t="str">
        <f>+'Mats+Insumos'!I81</f>
        <v>UNIDAD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23">
        <f t="shared" si="1"/>
        <v>0</v>
      </c>
    </row>
    <row r="79" spans="2:23" x14ac:dyDescent="0.3">
      <c r="B79" s="18">
        <f>+'Mats+Insumos'!B82</f>
        <v>75</v>
      </c>
      <c r="C79" s="19">
        <f>+'Mats+Insumos'!C82</f>
        <v>29</v>
      </c>
      <c r="D79" s="20" t="s">
        <v>158</v>
      </c>
      <c r="E79" s="20" t="str">
        <f>+'Mats+Insumos'!I82</f>
        <v>UNIDAD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23">
        <f t="shared" si="1"/>
        <v>0</v>
      </c>
    </row>
    <row r="80" spans="2:23" x14ac:dyDescent="0.3">
      <c r="B80" s="18">
        <f>+'Mats+Insumos'!B83</f>
        <v>76</v>
      </c>
      <c r="C80" s="19">
        <f>+'Mats+Insumos'!C83</f>
        <v>30</v>
      </c>
      <c r="D80" s="20" t="s">
        <v>159</v>
      </c>
      <c r="E80" s="20" t="str">
        <f>+'Mats+Insumos'!I83</f>
        <v>UNIDAD</v>
      </c>
      <c r="F80" s="40"/>
      <c r="G80" s="40"/>
      <c r="H80" s="40">
        <v>2</v>
      </c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23">
        <f t="shared" si="1"/>
        <v>2</v>
      </c>
    </row>
    <row r="81" spans="2:23" x14ac:dyDescent="0.3">
      <c r="B81" s="18">
        <f>+'Mats+Insumos'!B84</f>
        <v>77</v>
      </c>
      <c r="C81" s="19">
        <f>+'Mats+Insumos'!C84</f>
        <v>31</v>
      </c>
      <c r="D81" s="20" t="s">
        <v>160</v>
      </c>
      <c r="E81" s="20" t="str">
        <f>+'Mats+Insumos'!I84</f>
        <v>UNIDAD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23">
        <f t="shared" si="1"/>
        <v>0</v>
      </c>
    </row>
    <row r="82" spans="2:23" x14ac:dyDescent="0.3">
      <c r="B82" s="18">
        <f>+'Mats+Insumos'!B85</f>
        <v>78</v>
      </c>
      <c r="C82" s="19">
        <f>+'Mats+Insumos'!C85</f>
        <v>44121713</v>
      </c>
      <c r="D82" s="21" t="s">
        <v>161</v>
      </c>
      <c r="E82" s="20" t="str">
        <f>+'Mats+Insumos'!I85</f>
        <v>CAJA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23">
        <f t="shared" si="1"/>
        <v>0</v>
      </c>
    </row>
    <row r="83" spans="2:23" x14ac:dyDescent="0.3">
      <c r="B83" s="18">
        <f>+'Mats+Insumos'!B86</f>
        <v>79</v>
      </c>
      <c r="C83" s="19">
        <f>+'Mats+Insumos'!C86</f>
        <v>44121627</v>
      </c>
      <c r="D83" s="21" t="s">
        <v>164</v>
      </c>
      <c r="E83" s="20" t="str">
        <f>+'Mats+Insumos'!I86</f>
        <v>DOCENA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23">
        <f t="shared" si="1"/>
        <v>0</v>
      </c>
    </row>
    <row r="84" spans="2:23" x14ac:dyDescent="0.3">
      <c r="B84" s="18">
        <f>+'Mats+Insumos'!B87</f>
        <v>80</v>
      </c>
      <c r="C84" s="19">
        <f>+'Mats+Insumos'!C87</f>
        <v>32</v>
      </c>
      <c r="D84" s="20" t="s">
        <v>166</v>
      </c>
      <c r="E84" s="20" t="str">
        <f>+'Mats+Insumos'!I87</f>
        <v>PAQUETE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23">
        <f t="shared" si="1"/>
        <v>0</v>
      </c>
    </row>
    <row r="85" spans="2:23" x14ac:dyDescent="0.3">
      <c r="B85" s="18">
        <f>+'Mats+Insumos'!B88</f>
        <v>81</v>
      </c>
      <c r="C85" s="19">
        <f>+'Mats+Insumos'!C88</f>
        <v>33</v>
      </c>
      <c r="D85" s="20" t="s">
        <v>167</v>
      </c>
      <c r="E85" s="20" t="str">
        <f>+'Mats+Insumos'!I88</f>
        <v>UNIDAD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23">
        <f t="shared" si="1"/>
        <v>0</v>
      </c>
    </row>
    <row r="86" spans="2:23" x14ac:dyDescent="0.3">
      <c r="B86" s="18">
        <f>+'Mats+Insumos'!B89</f>
        <v>82</v>
      </c>
      <c r="C86" s="19">
        <f>+'Mats+Insumos'!C89</f>
        <v>14111530</v>
      </c>
      <c r="D86" s="21" t="s">
        <v>168</v>
      </c>
      <c r="E86" s="20" t="str">
        <f>+'Mats+Insumos'!I89</f>
        <v>DOCENA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23">
        <f t="shared" si="1"/>
        <v>0</v>
      </c>
    </row>
    <row r="87" spans="2:23" x14ac:dyDescent="0.3">
      <c r="B87" s="18">
        <f>+'Mats+Insumos'!B90</f>
        <v>83</v>
      </c>
      <c r="C87" s="19">
        <f>+'Mats+Insumos'!C90</f>
        <v>44111503</v>
      </c>
      <c r="D87" s="21" t="s">
        <v>170</v>
      </c>
      <c r="E87" s="20" t="str">
        <f>+'Mats+Insumos'!I90</f>
        <v>UNIDAD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23">
        <f t="shared" si="1"/>
        <v>0</v>
      </c>
    </row>
    <row r="88" spans="2:23" x14ac:dyDescent="0.3">
      <c r="B88" s="18">
        <f>+'Mats+Insumos'!B91</f>
        <v>84</v>
      </c>
      <c r="C88" s="19">
        <f>+'Mats+Insumos'!C91</f>
        <v>34</v>
      </c>
      <c r="D88" s="20" t="s">
        <v>172</v>
      </c>
      <c r="E88" s="20" t="str">
        <f>+'Mats+Insumos'!I91</f>
        <v>UNIDAD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23">
        <f t="shared" si="1"/>
        <v>0</v>
      </c>
    </row>
    <row r="89" spans="2:23" x14ac:dyDescent="0.3">
      <c r="B89" s="18">
        <f>+'Mats+Insumos'!B92</f>
        <v>85</v>
      </c>
      <c r="C89" s="19">
        <f>+'Mats+Insumos'!C92</f>
        <v>35</v>
      </c>
      <c r="D89" s="20" t="s">
        <v>173</v>
      </c>
      <c r="E89" s="20" t="str">
        <f>+'Mats+Insumos'!I92</f>
        <v>UNIDAD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23">
        <f t="shared" si="1"/>
        <v>0</v>
      </c>
    </row>
    <row r="90" spans="2:23" x14ac:dyDescent="0.3">
      <c r="B90" s="18">
        <f>+'Mats+Insumos'!B93</f>
        <v>86</v>
      </c>
      <c r="C90" s="19" t="str">
        <f>+'Mats+Insumos'!C93</f>
        <v>14111507</v>
      </c>
      <c r="D90" s="21" t="s">
        <v>175</v>
      </c>
      <c r="E90" s="20" t="str">
        <f>+'Mats+Insumos'!I93</f>
        <v>RESMA</v>
      </c>
      <c r="F90" s="40"/>
      <c r="G90" s="40"/>
      <c r="H90" s="40">
        <f>4+10+10+1</f>
        <v>25</v>
      </c>
      <c r="I90" s="40">
        <f>1+10</f>
        <v>11</v>
      </c>
      <c r="J90" s="40"/>
      <c r="K90" s="40"/>
      <c r="L90" s="40"/>
      <c r="M90" s="40"/>
      <c r="N90" s="40"/>
      <c r="O90" s="40"/>
      <c r="P90" s="40"/>
      <c r="Q90" s="40"/>
      <c r="R90" s="40"/>
      <c r="S90" s="40">
        <v>1</v>
      </c>
      <c r="T90" s="40">
        <v>4</v>
      </c>
      <c r="U90" s="40"/>
      <c r="V90" s="40">
        <v>3</v>
      </c>
      <c r="W90" s="23">
        <f t="shared" si="1"/>
        <v>44</v>
      </c>
    </row>
    <row r="91" spans="2:23" x14ac:dyDescent="0.3">
      <c r="B91" s="18">
        <f>+'Mats+Insumos'!B94</f>
        <v>87</v>
      </c>
      <c r="C91" s="19">
        <f>+'Mats+Insumos'!C94</f>
        <v>14111507</v>
      </c>
      <c r="D91" s="21" t="s">
        <v>178</v>
      </c>
      <c r="E91" s="20" t="str">
        <f>+'Mats+Insumos'!I94</f>
        <v>RESMA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23">
        <f t="shared" si="1"/>
        <v>0</v>
      </c>
    </row>
    <row r="92" spans="2:23" x14ac:dyDescent="0.3">
      <c r="B92" s="18">
        <f>+'Mats+Insumos'!B95</f>
        <v>88</v>
      </c>
      <c r="C92" s="19">
        <f>+'Mats+Insumos'!C95</f>
        <v>11151712</v>
      </c>
      <c r="D92" s="21" t="s">
        <v>179</v>
      </c>
      <c r="E92" s="20" t="str">
        <f>+'Mats+Insumos'!I95</f>
        <v>RESMA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23">
        <f t="shared" si="1"/>
        <v>0</v>
      </c>
    </row>
    <row r="93" spans="2:23" x14ac:dyDescent="0.3">
      <c r="B93" s="18">
        <f>+'Mats+Insumos'!B96</f>
        <v>89</v>
      </c>
      <c r="C93" s="19">
        <f>+'Mats+Insumos'!C96</f>
        <v>36</v>
      </c>
      <c r="D93" s="20" t="s">
        <v>180</v>
      </c>
      <c r="E93" s="20" t="str">
        <f>+'Mats+Insumos'!I96</f>
        <v>FARDO</v>
      </c>
      <c r="F93" s="40">
        <f>5+4+4+11</f>
        <v>24</v>
      </c>
      <c r="G93" s="40"/>
      <c r="H93" s="40"/>
      <c r="I93" s="40"/>
      <c r="J93" s="40"/>
      <c r="K93" s="40"/>
      <c r="L93" s="40">
        <f>4+20</f>
        <v>24</v>
      </c>
      <c r="M93" s="40"/>
      <c r="N93" s="40"/>
      <c r="O93" s="40">
        <v>18</v>
      </c>
      <c r="P93" s="40"/>
      <c r="Q93" s="40"/>
      <c r="R93" s="40"/>
      <c r="S93" s="40">
        <v>10</v>
      </c>
      <c r="T93" s="40"/>
      <c r="U93" s="40"/>
      <c r="V93" s="40"/>
      <c r="W93" s="23">
        <f t="shared" si="1"/>
        <v>76</v>
      </c>
    </row>
    <row r="94" spans="2:23" x14ac:dyDescent="0.3">
      <c r="B94" s="18">
        <f>+'Mats+Insumos'!B97</f>
        <v>90</v>
      </c>
      <c r="C94" s="19">
        <f>+'Mats+Insumos'!C97</f>
        <v>37</v>
      </c>
      <c r="D94" s="20" t="s">
        <v>181</v>
      </c>
      <c r="E94" s="20" t="str">
        <f>+'Mats+Insumos'!I97</f>
        <v>PAQUETE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23">
        <f t="shared" si="1"/>
        <v>0</v>
      </c>
    </row>
    <row r="95" spans="2:23" x14ac:dyDescent="0.3">
      <c r="B95" s="18">
        <f>+'Mats+Insumos'!B98</f>
        <v>91</v>
      </c>
      <c r="C95" s="19">
        <f>+'Mats+Insumos'!C98</f>
        <v>38</v>
      </c>
      <c r="D95" s="20" t="s">
        <v>182</v>
      </c>
      <c r="E95" s="20" t="str">
        <f>+'Mats+Insumos'!I98</f>
        <v>CAJA (100/1)</v>
      </c>
      <c r="F95" s="40"/>
      <c r="G95" s="40"/>
      <c r="H95" s="40"/>
      <c r="I95" s="40"/>
      <c r="J95" s="40"/>
      <c r="K95" s="40"/>
      <c r="L95" s="40">
        <v>3</v>
      </c>
      <c r="M95" s="40"/>
      <c r="N95" s="40"/>
      <c r="O95" s="40"/>
      <c r="P95" s="40"/>
      <c r="Q95" s="40"/>
      <c r="R95" s="40"/>
      <c r="S95" s="40"/>
      <c r="T95" s="40"/>
      <c r="U95" s="40">
        <v>6</v>
      </c>
      <c r="V95" s="40">
        <v>1</v>
      </c>
      <c r="W95" s="23">
        <f t="shared" si="1"/>
        <v>10</v>
      </c>
    </row>
    <row r="96" spans="2:23" x14ac:dyDescent="0.3">
      <c r="B96" s="18">
        <f>+'Mats+Insumos'!B99</f>
        <v>92</v>
      </c>
      <c r="C96" s="19">
        <f>+'Mats+Insumos'!C99</f>
        <v>39</v>
      </c>
      <c r="D96" s="20" t="s">
        <v>184</v>
      </c>
      <c r="E96" s="20" t="str">
        <f>+'Mats+Insumos'!I99</f>
        <v>FALDO</v>
      </c>
      <c r="F96" s="40">
        <f>2+2+2+4</f>
        <v>10</v>
      </c>
      <c r="G96" s="40"/>
      <c r="H96" s="40">
        <v>2</v>
      </c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23">
        <f t="shared" si="1"/>
        <v>12</v>
      </c>
    </row>
    <row r="97" spans="2:23" x14ac:dyDescent="0.3">
      <c r="B97" s="18">
        <f>+'Mats+Insumos'!B100</f>
        <v>93</v>
      </c>
      <c r="C97" s="19">
        <f>+'Mats+Insumos'!C100</f>
        <v>44101716</v>
      </c>
      <c r="D97" s="21" t="s">
        <v>185</v>
      </c>
      <c r="E97" s="20" t="str">
        <f>+'Mats+Insumos'!I100</f>
        <v>UNIDAD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23">
        <f t="shared" si="1"/>
        <v>0</v>
      </c>
    </row>
    <row r="98" spans="2:23" x14ac:dyDescent="0.3">
      <c r="B98" s="18">
        <f>+'Mats+Insumos'!B101</f>
        <v>94</v>
      </c>
      <c r="C98" s="19">
        <f>+'Mats+Insumos'!C101</f>
        <v>40</v>
      </c>
      <c r="D98" s="20" t="s">
        <v>186</v>
      </c>
      <c r="E98" s="20" t="str">
        <f>+'Mats+Insumos'!I101</f>
        <v>UNIDAD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23">
        <f t="shared" si="1"/>
        <v>0</v>
      </c>
    </row>
    <row r="99" spans="2:23" x14ac:dyDescent="0.3">
      <c r="B99" s="18">
        <f>+'Mats+Insumos'!B102</f>
        <v>95</v>
      </c>
      <c r="C99" s="19">
        <f>+'Mats+Insumos'!C102</f>
        <v>41</v>
      </c>
      <c r="D99" s="21" t="s">
        <v>187</v>
      </c>
      <c r="E99" s="20" t="str">
        <f>+'Mats+Insumos'!I102</f>
        <v>UNIDAD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23">
        <f t="shared" si="1"/>
        <v>0</v>
      </c>
    </row>
    <row r="100" spans="2:23" x14ac:dyDescent="0.3">
      <c r="B100" s="18">
        <f>+'Mats+Insumos'!B103</f>
        <v>96</v>
      </c>
      <c r="C100" s="19">
        <f>+'Mats+Insumos'!C103</f>
        <v>42</v>
      </c>
      <c r="D100" s="21" t="s">
        <v>188</v>
      </c>
      <c r="E100" s="20" t="str">
        <f>+'Mats+Insumos'!I103</f>
        <v>UNIDAD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23">
        <f t="shared" si="1"/>
        <v>0</v>
      </c>
    </row>
    <row r="101" spans="2:23" x14ac:dyDescent="0.3">
      <c r="B101" s="18">
        <f>+'Mats+Insumos'!B104</f>
        <v>97</v>
      </c>
      <c r="C101" s="19">
        <f>+'Mats+Insumos'!C104</f>
        <v>43</v>
      </c>
      <c r="D101" s="21" t="s">
        <v>189</v>
      </c>
      <c r="E101" s="20" t="str">
        <f>+'Mats+Insumos'!I104</f>
        <v>UNIDAD</v>
      </c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23">
        <f t="shared" si="1"/>
        <v>0</v>
      </c>
    </row>
    <row r="102" spans="2:23" x14ac:dyDescent="0.3">
      <c r="B102" s="18">
        <f>+'Mats+Insumos'!B105</f>
        <v>98</v>
      </c>
      <c r="C102" s="19">
        <f>+'Mats+Insumos'!C105</f>
        <v>44</v>
      </c>
      <c r="D102" s="21" t="s">
        <v>190</v>
      </c>
      <c r="E102" s="20" t="str">
        <f>+'Mats+Insumos'!I105</f>
        <v>UNIDAD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23">
        <f t="shared" si="1"/>
        <v>0</v>
      </c>
    </row>
    <row r="103" spans="2:23" x14ac:dyDescent="0.3">
      <c r="B103" s="18">
        <f>+'Mats+Insumos'!B106</f>
        <v>99</v>
      </c>
      <c r="C103" s="19">
        <f>+'Mats+Insumos'!C106</f>
        <v>45</v>
      </c>
      <c r="D103" s="20" t="s">
        <v>191</v>
      </c>
      <c r="E103" s="20" t="str">
        <f>+'Mats+Insumos'!I106</f>
        <v>UNIDAD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23">
        <f t="shared" si="1"/>
        <v>0</v>
      </c>
    </row>
    <row r="104" spans="2:23" x14ac:dyDescent="0.3">
      <c r="B104" s="18">
        <f>+'Mats+Insumos'!B107</f>
        <v>100</v>
      </c>
      <c r="C104" s="19">
        <f>+'Mats+Insumos'!C107</f>
        <v>46</v>
      </c>
      <c r="D104" s="20" t="s">
        <v>309</v>
      </c>
      <c r="E104" s="20" t="str">
        <f>+'Mats+Insumos'!I107</f>
        <v>UNIDAD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23">
        <f t="shared" si="1"/>
        <v>0</v>
      </c>
    </row>
    <row r="105" spans="2:23" x14ac:dyDescent="0.3">
      <c r="B105" s="18">
        <f>+'Mats+Insumos'!B108</f>
        <v>101</v>
      </c>
      <c r="C105" s="19">
        <f>+'Mats+Insumos'!C108</f>
        <v>47</v>
      </c>
      <c r="D105" s="20" t="s">
        <v>310</v>
      </c>
      <c r="E105" s="20" t="str">
        <f>+'Mats+Insumos'!I108</f>
        <v>UNIDAD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23">
        <f t="shared" si="1"/>
        <v>0</v>
      </c>
    </row>
    <row r="106" spans="2:23" x14ac:dyDescent="0.3">
      <c r="B106" s="18">
        <f>+'Mats+Insumos'!B109</f>
        <v>102</v>
      </c>
      <c r="C106" s="19">
        <f>+'Mats+Insumos'!C109</f>
        <v>48</v>
      </c>
      <c r="D106" s="20" t="s">
        <v>194</v>
      </c>
      <c r="E106" s="20" t="str">
        <f>+'Mats+Insumos'!I109</f>
        <v>FALDO 120/1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23">
        <f t="shared" si="1"/>
        <v>0</v>
      </c>
    </row>
    <row r="107" spans="2:23" x14ac:dyDescent="0.3">
      <c r="B107" s="18">
        <f>+'Mats+Insumos'!B110</f>
        <v>103</v>
      </c>
      <c r="C107" s="19">
        <f>+'Mats+Insumos'!C110</f>
        <v>44111509</v>
      </c>
      <c r="D107" s="21" t="s">
        <v>196</v>
      </c>
      <c r="E107" s="20" t="str">
        <f>+'Mats+Insumos'!I110</f>
        <v>UNIDAD</v>
      </c>
      <c r="F107" s="40"/>
      <c r="G107" s="40"/>
      <c r="H107" s="40">
        <v>2</v>
      </c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23">
        <f t="shared" si="1"/>
        <v>2</v>
      </c>
    </row>
    <row r="108" spans="2:23" x14ac:dyDescent="0.3">
      <c r="B108" s="18">
        <f>+'Mats+Insumos'!B111</f>
        <v>104</v>
      </c>
      <c r="C108" s="19">
        <f>+'Mats+Insumos'!C111</f>
        <v>14111530</v>
      </c>
      <c r="D108" s="21" t="s">
        <v>198</v>
      </c>
      <c r="E108" s="20" t="str">
        <f>+'Mats+Insumos'!I111</f>
        <v>UNIDAD</v>
      </c>
      <c r="F108" s="40"/>
      <c r="G108" s="40"/>
      <c r="H108" s="40">
        <f>4+6+10</f>
        <v>20</v>
      </c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>
        <v>10</v>
      </c>
      <c r="T108" s="40"/>
      <c r="U108" s="40">
        <v>3</v>
      </c>
      <c r="V108" s="40"/>
      <c r="W108" s="23">
        <f t="shared" si="1"/>
        <v>33</v>
      </c>
    </row>
    <row r="109" spans="2:23" x14ac:dyDescent="0.3">
      <c r="B109" s="18">
        <f>+'Mats+Insumos'!B112</f>
        <v>105</v>
      </c>
      <c r="C109" s="19">
        <f>+'Mats+Insumos'!C112</f>
        <v>44103103</v>
      </c>
      <c r="D109" s="21" t="s">
        <v>199</v>
      </c>
      <c r="E109" s="20" t="str">
        <f>+'Mats+Insumos'!I112</f>
        <v>UNIDAD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23">
        <f t="shared" si="1"/>
        <v>0</v>
      </c>
    </row>
    <row r="110" spans="2:23" x14ac:dyDescent="0.3">
      <c r="B110" s="18">
        <f>+'Mats+Insumos'!B113</f>
        <v>106</v>
      </c>
      <c r="C110" s="19" t="str">
        <f>+'Mats+Insumos'!C113</f>
        <v>44122005</v>
      </c>
      <c r="D110" s="21" t="s">
        <v>201</v>
      </c>
      <c r="E110" s="20" t="str">
        <f>+'Mats+Insumos'!I113</f>
        <v>PAQUETE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>
        <v>1</v>
      </c>
      <c r="Q110" s="40"/>
      <c r="R110" s="40"/>
      <c r="S110" s="40"/>
      <c r="T110" s="40">
        <v>4</v>
      </c>
      <c r="U110" s="40"/>
      <c r="V110" s="40"/>
      <c r="W110" s="23">
        <f t="shared" si="1"/>
        <v>5</v>
      </c>
    </row>
    <row r="111" spans="2:23" x14ac:dyDescent="0.3">
      <c r="B111" s="18">
        <f>+'Mats+Insumos'!B114</f>
        <v>107</v>
      </c>
      <c r="C111" s="19">
        <f>+'Mats+Insumos'!C114</f>
        <v>49</v>
      </c>
      <c r="D111" s="20" t="s">
        <v>311</v>
      </c>
      <c r="E111" s="20" t="str">
        <f>+'Mats+Insumos'!I114</f>
        <v>UNIDAD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23">
        <f t="shared" si="1"/>
        <v>0</v>
      </c>
    </row>
    <row r="112" spans="2:23" x14ac:dyDescent="0.3">
      <c r="B112" s="18">
        <f>+'Mats+Insumos'!B115</f>
        <v>108</v>
      </c>
      <c r="C112" s="19">
        <f>+'Mats+Insumos'!C115</f>
        <v>50</v>
      </c>
      <c r="D112" s="20" t="s">
        <v>312</v>
      </c>
      <c r="E112" s="20" t="str">
        <f>+'Mats+Insumos'!I115</f>
        <v>UNIDAD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>
        <v>2</v>
      </c>
      <c r="P112" s="40"/>
      <c r="Q112" s="40"/>
      <c r="R112" s="40"/>
      <c r="S112" s="40">
        <v>2</v>
      </c>
      <c r="T112" s="40"/>
      <c r="U112" s="40"/>
      <c r="V112" s="40"/>
      <c r="W112" s="23">
        <f t="shared" si="1"/>
        <v>4</v>
      </c>
    </row>
    <row r="113" spans="2:23" x14ac:dyDescent="0.3">
      <c r="B113" s="18">
        <f>+'Mats+Insumos'!B116</f>
        <v>109</v>
      </c>
      <c r="C113" s="19" t="str">
        <f>+'Mats+Insumos'!C116</f>
        <v>44121716</v>
      </c>
      <c r="D113" s="21" t="s">
        <v>205</v>
      </c>
      <c r="E113" s="20" t="str">
        <f>+'Mats+Insumos'!I116</f>
        <v>DOCENA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>
        <v>1</v>
      </c>
      <c r="T113" s="40"/>
      <c r="U113" s="40"/>
      <c r="V113" s="40"/>
      <c r="W113" s="23">
        <f t="shared" si="1"/>
        <v>1</v>
      </c>
    </row>
    <row r="114" spans="2:23" x14ac:dyDescent="0.3">
      <c r="B114" s="18">
        <f>+'Mats+Insumos'!B117</f>
        <v>110</v>
      </c>
      <c r="C114" s="19">
        <f>+'Mats+Insumos'!C117</f>
        <v>14111515</v>
      </c>
      <c r="D114" s="21" t="s">
        <v>206</v>
      </c>
      <c r="E114" s="20" t="str">
        <f>+'Mats+Insumos'!I117</f>
        <v>UNIDAD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23">
        <f t="shared" si="1"/>
        <v>0</v>
      </c>
    </row>
    <row r="115" spans="2:23" x14ac:dyDescent="0.3">
      <c r="B115" s="18">
        <f>+'Mats+Insumos'!B118</f>
        <v>111</v>
      </c>
      <c r="C115" s="19">
        <f>+'Mats+Insumos'!C118</f>
        <v>44121613</v>
      </c>
      <c r="D115" s="21" t="s">
        <v>208</v>
      </c>
      <c r="E115" s="20" t="str">
        <f>+'Mats+Insumos'!I118</f>
        <v>UNIDAD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23">
        <f t="shared" si="1"/>
        <v>0</v>
      </c>
    </row>
    <row r="116" spans="2:23" x14ac:dyDescent="0.3">
      <c r="B116" s="18">
        <f>+'Mats+Insumos'!B119</f>
        <v>112</v>
      </c>
      <c r="C116" s="19">
        <f>+'Mats+Insumos'!C119</f>
        <v>44121619</v>
      </c>
      <c r="D116" s="21" t="s">
        <v>209</v>
      </c>
      <c r="E116" s="20" t="str">
        <f>+'Mats+Insumos'!I119</f>
        <v>UNIDAD</v>
      </c>
      <c r="F116" s="40"/>
      <c r="G116" s="40"/>
      <c r="H116" s="40"/>
      <c r="I116" s="40"/>
      <c r="J116" s="40"/>
      <c r="K116" s="40"/>
      <c r="L116" s="40">
        <v>6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23">
        <f t="shared" si="1"/>
        <v>6</v>
      </c>
    </row>
    <row r="117" spans="2:23" x14ac:dyDescent="0.3">
      <c r="B117" s="18">
        <f>+'Mats+Insumos'!B120</f>
        <v>113</v>
      </c>
      <c r="C117" s="19">
        <f>+'Mats+Insumos'!C120</f>
        <v>51</v>
      </c>
      <c r="D117" s="20" t="s">
        <v>211</v>
      </c>
      <c r="E117" s="20" t="str">
        <f>+'Mats+Insumos'!I120</f>
        <v>CAJA 24/1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23">
        <f t="shared" si="1"/>
        <v>0</v>
      </c>
    </row>
    <row r="118" spans="2:23" x14ac:dyDescent="0.3">
      <c r="B118" s="18">
        <f>+'Mats+Insumos'!B121</f>
        <v>114</v>
      </c>
      <c r="C118" s="19">
        <f>+'Mats+Insumos'!C121</f>
        <v>14111705</v>
      </c>
      <c r="D118" s="21" t="s">
        <v>213</v>
      </c>
      <c r="E118" s="20" t="s">
        <v>33</v>
      </c>
      <c r="F118" s="40">
        <f>3+2+2+4+1</f>
        <v>12</v>
      </c>
      <c r="G118" s="40"/>
      <c r="H118" s="40"/>
      <c r="I118" s="40"/>
      <c r="J118" s="40"/>
      <c r="K118" s="40"/>
      <c r="L118" s="40">
        <v>3</v>
      </c>
      <c r="M118" s="40"/>
      <c r="N118" s="40"/>
      <c r="O118" s="40">
        <v>16</v>
      </c>
      <c r="P118" s="40"/>
      <c r="Q118" s="40"/>
      <c r="R118" s="40"/>
      <c r="S118" s="40"/>
      <c r="T118" s="40"/>
      <c r="U118" s="40"/>
      <c r="V118" s="40"/>
      <c r="W118" s="23">
        <f t="shared" si="1"/>
        <v>31</v>
      </c>
    </row>
    <row r="119" spans="2:23" x14ac:dyDescent="0.3">
      <c r="B119" s="18">
        <f>+'Mats+Insumos'!B122</f>
        <v>115</v>
      </c>
      <c r="C119" s="19">
        <f>+'Mats+Insumos'!C122</f>
        <v>44121505</v>
      </c>
      <c r="D119" s="21" t="s">
        <v>215</v>
      </c>
      <c r="E119" s="20" t="str">
        <f>+'Mats+Insumos'!I122</f>
        <v>CAJA</v>
      </c>
      <c r="F119" s="40"/>
      <c r="G119" s="40"/>
      <c r="H119" s="40">
        <v>1</v>
      </c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23">
        <f t="shared" si="1"/>
        <v>1</v>
      </c>
    </row>
    <row r="120" spans="2:23" x14ac:dyDescent="0.3">
      <c r="B120" s="18">
        <f>+'Mats+Insumos'!B123</f>
        <v>116</v>
      </c>
      <c r="C120" s="19">
        <f>+'Mats+Insumos'!C123</f>
        <v>44121505</v>
      </c>
      <c r="D120" s="21" t="s">
        <v>217</v>
      </c>
      <c r="E120" s="20" t="str">
        <f>+'Mats+Insumos'!I123</f>
        <v>CAJA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23">
        <f t="shared" si="1"/>
        <v>0</v>
      </c>
    </row>
    <row r="121" spans="2:23" x14ac:dyDescent="0.3">
      <c r="B121" s="18">
        <f>+'Mats+Insumos'!B124</f>
        <v>117</v>
      </c>
      <c r="C121" s="19">
        <f>+'Mats+Insumos'!C124</f>
        <v>44121505</v>
      </c>
      <c r="D121" s="21" t="s">
        <v>218</v>
      </c>
      <c r="E121" s="20" t="str">
        <f>+'Mats+Insumos'!I124</f>
        <v xml:space="preserve">CAJA 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23">
        <f t="shared" si="1"/>
        <v>0</v>
      </c>
    </row>
    <row r="122" spans="2:23" x14ac:dyDescent="0.3">
      <c r="B122" s="18">
        <f>+'Mats+Insumos'!B125</f>
        <v>118</v>
      </c>
      <c r="C122" s="19">
        <f>+'Mats+Insumos'!C125</f>
        <v>44122016</v>
      </c>
      <c r="D122" s="21" t="s">
        <v>220</v>
      </c>
      <c r="E122" s="20" t="str">
        <f>+'Mats+Insumos'!I125</f>
        <v>UNIDAD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23">
        <f t="shared" si="1"/>
        <v>0</v>
      </c>
    </row>
    <row r="123" spans="2:23" x14ac:dyDescent="0.3">
      <c r="B123" s="18">
        <f>+'Mats+Insumos'!B126</f>
        <v>119</v>
      </c>
      <c r="C123" s="19">
        <f>+'Mats+Insumos'!C126</f>
        <v>47131618</v>
      </c>
      <c r="D123" s="21" t="s">
        <v>222</v>
      </c>
      <c r="E123" s="20" t="str">
        <f>+'Mats+Insumos'!I126</f>
        <v>UNIDAD</v>
      </c>
      <c r="F123" s="40"/>
      <c r="G123" s="40"/>
      <c r="H123" s="40"/>
      <c r="I123" s="40"/>
      <c r="J123" s="40"/>
      <c r="K123" s="40"/>
      <c r="L123" s="40">
        <v>3</v>
      </c>
      <c r="M123" s="40"/>
      <c r="N123" s="40"/>
      <c r="O123" s="40">
        <v>2</v>
      </c>
      <c r="P123" s="40"/>
      <c r="Q123" s="40"/>
      <c r="R123" s="40"/>
      <c r="S123" s="40">
        <v>3</v>
      </c>
      <c r="T123" s="40"/>
      <c r="U123" s="40"/>
      <c r="V123" s="40"/>
      <c r="W123" s="23">
        <f t="shared" si="1"/>
        <v>8</v>
      </c>
    </row>
    <row r="124" spans="2:23" x14ac:dyDescent="0.3">
      <c r="B124" s="18">
        <f>+'Mats+Insumos'!B127</f>
        <v>120</v>
      </c>
      <c r="C124" s="19">
        <f>+'Mats+Insumos'!C127</f>
        <v>52</v>
      </c>
      <c r="D124" s="20" t="s">
        <v>313</v>
      </c>
      <c r="E124" s="20" t="str">
        <f>+'Mats+Insumos'!I127</f>
        <v>UNIDAD</v>
      </c>
      <c r="F124" s="40"/>
      <c r="G124" s="40"/>
      <c r="H124" s="40">
        <v>6</v>
      </c>
      <c r="I124" s="40"/>
      <c r="J124" s="40"/>
      <c r="K124" s="40"/>
      <c r="L124" s="40"/>
      <c r="M124" s="40"/>
      <c r="N124" s="40"/>
      <c r="O124" s="40">
        <v>6</v>
      </c>
      <c r="P124" s="40"/>
      <c r="Q124" s="40"/>
      <c r="R124" s="40"/>
      <c r="S124" s="40">
        <v>12</v>
      </c>
      <c r="T124" s="40"/>
      <c r="U124" s="40"/>
      <c r="V124" s="40"/>
      <c r="W124" s="23">
        <f t="shared" si="1"/>
        <v>24</v>
      </c>
    </row>
    <row r="125" spans="2:23" x14ac:dyDescent="0.3">
      <c r="B125" s="18">
        <f>+'Mats+Insumos'!B128</f>
        <v>121</v>
      </c>
      <c r="C125" s="19">
        <f>+'Mats+Insumos'!C128</f>
        <v>53</v>
      </c>
      <c r="D125" s="20" t="s">
        <v>314</v>
      </c>
      <c r="E125" s="20" t="str">
        <f>+'Mats+Insumos'!I128</f>
        <v>UNIDAD</v>
      </c>
      <c r="F125" s="40"/>
      <c r="G125" s="40"/>
      <c r="H125" s="40"/>
      <c r="I125" s="40"/>
      <c r="J125" s="40"/>
      <c r="K125" s="40"/>
      <c r="L125" s="40">
        <v>12</v>
      </c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23">
        <f t="shared" si="1"/>
        <v>12</v>
      </c>
    </row>
    <row r="126" spans="2:23" x14ac:dyDescent="0.3">
      <c r="B126" s="18">
        <f>+'Mats+Insumos'!B129</f>
        <v>122</v>
      </c>
      <c r="C126" s="19">
        <f>+'Mats+Insumos'!C129</f>
        <v>50201711</v>
      </c>
      <c r="D126" s="21" t="s">
        <v>225</v>
      </c>
      <c r="E126" s="20" t="str">
        <f>+'Mats+Insumos'!I129</f>
        <v>PAQUETE</v>
      </c>
      <c r="F126" s="40">
        <f>2+2+2+4</f>
        <v>10</v>
      </c>
      <c r="G126" s="40"/>
      <c r="H126" s="40"/>
      <c r="I126" s="40"/>
      <c r="J126" s="40"/>
      <c r="K126" s="40"/>
      <c r="L126" s="40">
        <f>4+9</f>
        <v>13</v>
      </c>
      <c r="M126" s="40"/>
      <c r="N126" s="40"/>
      <c r="O126" s="40">
        <v>6</v>
      </c>
      <c r="P126" s="40"/>
      <c r="Q126" s="40"/>
      <c r="R126" s="40"/>
      <c r="S126" s="40"/>
      <c r="T126" s="40"/>
      <c r="U126" s="40"/>
      <c r="V126" s="40"/>
      <c r="W126" s="23">
        <f t="shared" si="1"/>
        <v>29</v>
      </c>
    </row>
    <row r="127" spans="2:23" x14ac:dyDescent="0.3">
      <c r="B127" s="18">
        <f>+'Mats+Insumos'!B130</f>
        <v>123</v>
      </c>
      <c r="C127" s="19">
        <f>+'Mats+Insumos'!C130</f>
        <v>54</v>
      </c>
      <c r="D127" s="20" t="s">
        <v>315</v>
      </c>
      <c r="E127" s="20" t="str">
        <f>+'Mats+Insumos'!I130</f>
        <v>UNIDAD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23">
        <f t="shared" si="1"/>
        <v>0</v>
      </c>
    </row>
    <row r="128" spans="2:23" x14ac:dyDescent="0.3">
      <c r="B128" s="18">
        <f>+'Mats+Insumos'!B131</f>
        <v>124</v>
      </c>
      <c r="C128" s="19">
        <f>+'Mats+Insumos'!C131</f>
        <v>47121702</v>
      </c>
      <c r="D128" s="21" t="s">
        <v>228</v>
      </c>
      <c r="E128" s="20" t="str">
        <f>+'Mats+Insumos'!I131</f>
        <v>UNIDAD</v>
      </c>
      <c r="F128" s="40"/>
      <c r="G128" s="40"/>
      <c r="H128" s="40">
        <v>4</v>
      </c>
      <c r="I128" s="40">
        <v>1</v>
      </c>
      <c r="J128" s="40"/>
      <c r="K128" s="40"/>
      <c r="L128" s="40">
        <v>5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23">
        <f t="shared" si="1"/>
        <v>10</v>
      </c>
    </row>
    <row r="129" spans="2:23" x14ac:dyDescent="0.3">
      <c r="B129" s="18">
        <f>+'Mats+Insumos'!B132</f>
        <v>125</v>
      </c>
      <c r="C129" s="19">
        <f>+'Mats+Insumos'!C132</f>
        <v>55</v>
      </c>
      <c r="D129" s="20" t="s">
        <v>230</v>
      </c>
      <c r="E129" s="20" t="str">
        <f>+'Mats+Insumos'!I132</f>
        <v>PAQUETE (30/1)</v>
      </c>
      <c r="F129" s="40"/>
      <c r="G129" s="40"/>
      <c r="H129" s="40"/>
      <c r="I129" s="40"/>
      <c r="J129" s="40"/>
      <c r="K129" s="40"/>
      <c r="L129" s="40">
        <v>12</v>
      </c>
      <c r="M129" s="40">
        <v>1</v>
      </c>
      <c r="N129" s="40"/>
      <c r="O129" s="40"/>
      <c r="P129" s="40"/>
      <c r="Q129" s="40"/>
      <c r="R129" s="40"/>
      <c r="S129" s="40"/>
      <c r="T129" s="40"/>
      <c r="U129" s="40"/>
      <c r="V129" s="40"/>
      <c r="W129" s="23">
        <f t="shared" si="1"/>
        <v>13</v>
      </c>
    </row>
    <row r="130" spans="2:23" x14ac:dyDescent="0.3">
      <c r="B130" s="18">
        <f>+'Mats+Insumos'!B133</f>
        <v>126</v>
      </c>
      <c r="C130" s="19">
        <f>+'Mats+Insumos'!C133</f>
        <v>44103103</v>
      </c>
      <c r="D130" s="21" t="s">
        <v>232</v>
      </c>
      <c r="E130" s="20" t="str">
        <f>+'Mats+Insumos'!I133</f>
        <v>UNIDAD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23">
        <f t="shared" si="1"/>
        <v>0</v>
      </c>
    </row>
    <row r="131" spans="2:23" x14ac:dyDescent="0.3">
      <c r="B131" s="18">
        <f>+'Mats+Insumos'!B134</f>
        <v>127</v>
      </c>
      <c r="C131" s="19">
        <f>+'Mats+Insumos'!C134</f>
        <v>44103103</v>
      </c>
      <c r="D131" s="21" t="s">
        <v>233</v>
      </c>
      <c r="E131" s="20" t="str">
        <f>+'Mats+Insumos'!I134</f>
        <v>UNIDAD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23">
        <f t="shared" si="1"/>
        <v>0</v>
      </c>
    </row>
    <row r="132" spans="2:23" x14ac:dyDescent="0.3">
      <c r="B132" s="18">
        <f>+'Mats+Insumos'!B135</f>
        <v>128</v>
      </c>
      <c r="C132" s="19">
        <f>+'Mats+Insumos'!C135</f>
        <v>44103103</v>
      </c>
      <c r="D132" s="21" t="s">
        <v>234</v>
      </c>
      <c r="E132" s="20" t="str">
        <f>+'Mats+Insumos'!I135</f>
        <v>UNIDAD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23">
        <f t="shared" si="1"/>
        <v>0</v>
      </c>
    </row>
    <row r="133" spans="2:23" x14ac:dyDescent="0.3">
      <c r="B133" s="18">
        <f>+'Mats+Insumos'!B136</f>
        <v>129</v>
      </c>
      <c r="C133" s="19">
        <f>+'Mats+Insumos'!C136</f>
        <v>44103103</v>
      </c>
      <c r="D133" s="21" t="s">
        <v>235</v>
      </c>
      <c r="E133" s="20" t="str">
        <f>+'Mats+Insumos'!I136</f>
        <v>UNIDAD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23">
        <f t="shared" ref="W133:W171" si="2">SUM(F133:V133)</f>
        <v>0</v>
      </c>
    </row>
    <row r="134" spans="2:23" x14ac:dyDescent="0.3">
      <c r="B134" s="18">
        <f>+'Mats+Insumos'!B137</f>
        <v>130</v>
      </c>
      <c r="C134" s="19">
        <f>+'Mats+Insumos'!C137</f>
        <v>44103103</v>
      </c>
      <c r="D134" s="21" t="s">
        <v>236</v>
      </c>
      <c r="E134" s="20" t="str">
        <f>+'Mats+Insumos'!I137</f>
        <v>UNIDAD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23">
        <f t="shared" si="2"/>
        <v>0</v>
      </c>
    </row>
    <row r="135" spans="2:23" x14ac:dyDescent="0.3">
      <c r="B135" s="18">
        <f>+'Mats+Insumos'!B138</f>
        <v>131</v>
      </c>
      <c r="C135" s="19">
        <f>+'Mats+Insumos'!C138</f>
        <v>44103103</v>
      </c>
      <c r="D135" s="21" t="s">
        <v>237</v>
      </c>
      <c r="E135" s="20" t="str">
        <f>+'Mats+Insumos'!I138</f>
        <v>UNIDAD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23">
        <f t="shared" si="2"/>
        <v>0</v>
      </c>
    </row>
    <row r="136" spans="2:23" x14ac:dyDescent="0.3">
      <c r="B136" s="18">
        <f>+'Mats+Insumos'!B139</f>
        <v>132</v>
      </c>
      <c r="C136" s="19">
        <f>+'Mats+Insumos'!C139</f>
        <v>44103103</v>
      </c>
      <c r="D136" s="21" t="s">
        <v>238</v>
      </c>
      <c r="E136" s="20" t="str">
        <f>+'Mats+Insumos'!I139</f>
        <v>UNIDAD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23">
        <f t="shared" si="2"/>
        <v>0</v>
      </c>
    </row>
    <row r="137" spans="2:23" x14ac:dyDescent="0.3">
      <c r="B137" s="18">
        <f>+'Mats+Insumos'!B140</f>
        <v>133</v>
      </c>
      <c r="C137" s="19">
        <f>+'Mats+Insumos'!C140</f>
        <v>44103103</v>
      </c>
      <c r="D137" s="21" t="s">
        <v>240</v>
      </c>
      <c r="E137" s="20" t="str">
        <f>+'Mats+Insumos'!I140</f>
        <v>UNIDAD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23">
        <f t="shared" si="2"/>
        <v>0</v>
      </c>
    </row>
    <row r="138" spans="2:23" x14ac:dyDescent="0.3">
      <c r="B138" s="18">
        <f>+'Mats+Insumos'!B141</f>
        <v>134</v>
      </c>
      <c r="C138" s="19">
        <f>+'Mats+Insumos'!C141</f>
        <v>44103103</v>
      </c>
      <c r="D138" s="21" t="s">
        <v>241</v>
      </c>
      <c r="E138" s="20" t="str">
        <f>+'Mats+Insumos'!I141</f>
        <v>UNIDAD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23">
        <f t="shared" si="2"/>
        <v>0</v>
      </c>
    </row>
    <row r="139" spans="2:23" x14ac:dyDescent="0.3">
      <c r="B139" s="18">
        <f>+'Mats+Insumos'!B142</f>
        <v>135</v>
      </c>
      <c r="C139" s="19">
        <f>+'Mats+Insumos'!C142</f>
        <v>44103103</v>
      </c>
      <c r="D139" s="21" t="s">
        <v>242</v>
      </c>
      <c r="E139" s="20" t="str">
        <f>+'Mats+Insumos'!I142</f>
        <v>UNIDAD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23">
        <f t="shared" si="2"/>
        <v>0</v>
      </c>
    </row>
    <row r="140" spans="2:23" x14ac:dyDescent="0.3">
      <c r="B140" s="18">
        <f>+'Mats+Insumos'!B143</f>
        <v>136</v>
      </c>
      <c r="C140" s="19">
        <f>+'Mats+Insumos'!C143</f>
        <v>44103103</v>
      </c>
      <c r="D140" s="21" t="s">
        <v>243</v>
      </c>
      <c r="E140" s="20" t="str">
        <f>+'Mats+Insumos'!I143</f>
        <v>UNIDAD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23">
        <f t="shared" si="2"/>
        <v>0</v>
      </c>
    </row>
    <row r="141" spans="2:23" x14ac:dyDescent="0.3">
      <c r="B141" s="18">
        <f>+'Mats+Insumos'!B144</f>
        <v>137</v>
      </c>
      <c r="C141" s="19">
        <f>+'Mats+Insumos'!C144</f>
        <v>44103103</v>
      </c>
      <c r="D141" s="21" t="s">
        <v>244</v>
      </c>
      <c r="E141" s="20" t="str">
        <f>+'Mats+Insumos'!I144</f>
        <v>UNIDAD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23">
        <f t="shared" si="2"/>
        <v>0</v>
      </c>
    </row>
    <row r="142" spans="2:23" x14ac:dyDescent="0.3">
      <c r="B142" s="18">
        <f>+'Mats+Insumos'!B145</f>
        <v>138</v>
      </c>
      <c r="C142" s="19">
        <f>+'Mats+Insumos'!C145</f>
        <v>44103103</v>
      </c>
      <c r="D142" s="21" t="s">
        <v>245</v>
      </c>
      <c r="E142" s="20" t="str">
        <f>+'Mats+Insumos'!I145</f>
        <v>UNIDAD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23">
        <f t="shared" si="2"/>
        <v>0</v>
      </c>
    </row>
    <row r="143" spans="2:23" x14ac:dyDescent="0.3">
      <c r="B143" s="18">
        <f>+'Mats+Insumos'!B146</f>
        <v>139</v>
      </c>
      <c r="C143" s="19">
        <f>+'Mats+Insumos'!C146</f>
        <v>44103103</v>
      </c>
      <c r="D143" s="21" t="s">
        <v>246</v>
      </c>
      <c r="E143" s="20" t="str">
        <f>+'Mats+Insumos'!I146</f>
        <v>UNIDAD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23">
        <f t="shared" si="2"/>
        <v>0</v>
      </c>
    </row>
    <row r="144" spans="2:23" x14ac:dyDescent="0.3">
      <c r="B144" s="18">
        <f>+'Mats+Insumos'!B147</f>
        <v>140</v>
      </c>
      <c r="C144" s="19">
        <f>+'Mats+Insumos'!C147</f>
        <v>44103103</v>
      </c>
      <c r="D144" s="21" t="s">
        <v>247</v>
      </c>
      <c r="E144" s="20" t="str">
        <f>+'Mats+Insumos'!I147</f>
        <v>UNIDAD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23">
        <f t="shared" si="2"/>
        <v>0</v>
      </c>
    </row>
    <row r="145" spans="2:23" x14ac:dyDescent="0.3">
      <c r="B145" s="18">
        <f>+'Mats+Insumos'!B148</f>
        <v>141</v>
      </c>
      <c r="C145" s="19">
        <f>+'Mats+Insumos'!C148</f>
        <v>44103103</v>
      </c>
      <c r="D145" s="21" t="s">
        <v>249</v>
      </c>
      <c r="E145" s="20" t="str">
        <f>+'Mats+Insumos'!I148</f>
        <v>UNIDAD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23">
        <f t="shared" si="2"/>
        <v>0</v>
      </c>
    </row>
    <row r="146" spans="2:23" x14ac:dyDescent="0.3">
      <c r="B146" s="18">
        <f>+'Mats+Insumos'!B149</f>
        <v>142</v>
      </c>
      <c r="C146" s="19">
        <f>+'Mats+Insumos'!C149</f>
        <v>44103103</v>
      </c>
      <c r="D146" s="21" t="s">
        <v>250</v>
      </c>
      <c r="E146" s="20" t="str">
        <f>+'Mats+Insumos'!I149</f>
        <v>UNIDAD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23">
        <f t="shared" si="2"/>
        <v>0</v>
      </c>
    </row>
    <row r="147" spans="2:23" x14ac:dyDescent="0.3">
      <c r="B147" s="18">
        <f>+'Mats+Insumos'!B150</f>
        <v>143</v>
      </c>
      <c r="C147" s="19">
        <f>+'Mats+Insumos'!C150</f>
        <v>44103103</v>
      </c>
      <c r="D147" s="21" t="s">
        <v>251</v>
      </c>
      <c r="E147" s="20" t="str">
        <f>+'Mats+Insumos'!I150</f>
        <v>UNIDAD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23">
        <f t="shared" si="2"/>
        <v>0</v>
      </c>
    </row>
    <row r="148" spans="2:23" x14ac:dyDescent="0.3">
      <c r="B148" s="18">
        <f>+'Mats+Insumos'!B151</f>
        <v>144</v>
      </c>
      <c r="C148" s="19">
        <f>+'Mats+Insumos'!C151</f>
        <v>44103103</v>
      </c>
      <c r="D148" s="21" t="s">
        <v>252</v>
      </c>
      <c r="E148" s="20" t="str">
        <f>+'Mats+Insumos'!I151</f>
        <v>UNIDAD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23">
        <f t="shared" si="2"/>
        <v>0</v>
      </c>
    </row>
    <row r="149" spans="2:23" x14ac:dyDescent="0.3">
      <c r="B149" s="18">
        <f>+'Mats+Insumos'!B152</f>
        <v>145</v>
      </c>
      <c r="C149" s="19">
        <f>+'Mats+Insumos'!C152</f>
        <v>44103103</v>
      </c>
      <c r="D149" s="21" t="s">
        <v>253</v>
      </c>
      <c r="E149" s="20" t="str">
        <f>+'Mats+Insumos'!I152</f>
        <v>UNIDAD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23">
        <f t="shared" si="2"/>
        <v>0</v>
      </c>
    </row>
    <row r="150" spans="2:23" x14ac:dyDescent="0.3">
      <c r="B150" s="18">
        <f>+'Mats+Insumos'!B153</f>
        <v>146</v>
      </c>
      <c r="C150" s="19">
        <f>+'Mats+Insumos'!C153</f>
        <v>44103103</v>
      </c>
      <c r="D150" s="21" t="s">
        <v>254</v>
      </c>
      <c r="E150" s="20" t="str">
        <f>+'Mats+Insumos'!I153</f>
        <v>UNIDAD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23">
        <f t="shared" si="2"/>
        <v>0</v>
      </c>
    </row>
    <row r="151" spans="2:23" x14ac:dyDescent="0.3">
      <c r="B151" s="18">
        <f>+'Mats+Insumos'!B154</f>
        <v>147</v>
      </c>
      <c r="C151" s="19">
        <f>+'Mats+Insumos'!C154</f>
        <v>44103103</v>
      </c>
      <c r="D151" s="21" t="s">
        <v>255</v>
      </c>
      <c r="E151" s="20" t="str">
        <f>+'Mats+Insumos'!I154</f>
        <v>UNIDAD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23">
        <f t="shared" si="2"/>
        <v>0</v>
      </c>
    </row>
    <row r="152" spans="2:23" x14ac:dyDescent="0.3">
      <c r="B152" s="18">
        <f>+'Mats+Insumos'!B155</f>
        <v>148</v>
      </c>
      <c r="C152" s="19">
        <f>+'Mats+Insumos'!C155</f>
        <v>44103103</v>
      </c>
      <c r="D152" s="21" t="s">
        <v>256</v>
      </c>
      <c r="E152" s="20" t="str">
        <f>+'Mats+Insumos'!I155</f>
        <v>UNIDAD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23">
        <f t="shared" si="2"/>
        <v>0</v>
      </c>
    </row>
    <row r="153" spans="2:23" x14ac:dyDescent="0.3">
      <c r="B153" s="18">
        <f>+'Mats+Insumos'!B156</f>
        <v>149</v>
      </c>
      <c r="C153" s="19">
        <f>+'Mats+Insumos'!C156</f>
        <v>44103103</v>
      </c>
      <c r="D153" s="21" t="s">
        <v>257</v>
      </c>
      <c r="E153" s="20" t="str">
        <f>+'Mats+Insumos'!I156</f>
        <v>UNIDAD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23">
        <f t="shared" si="2"/>
        <v>0</v>
      </c>
    </row>
    <row r="154" spans="2:23" x14ac:dyDescent="0.3">
      <c r="B154" s="18">
        <f>+'Mats+Insumos'!B157</f>
        <v>150</v>
      </c>
      <c r="C154" s="19">
        <f>+'Mats+Insumos'!C157</f>
        <v>44103103</v>
      </c>
      <c r="D154" s="21" t="s">
        <v>258</v>
      </c>
      <c r="E154" s="20" t="str">
        <f>+'Mats+Insumos'!I157</f>
        <v>UNIDAD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23">
        <f t="shared" si="2"/>
        <v>0</v>
      </c>
    </row>
    <row r="155" spans="2:23" x14ac:dyDescent="0.3">
      <c r="B155" s="18">
        <f>+'Mats+Insumos'!B158</f>
        <v>151</v>
      </c>
      <c r="C155" s="19">
        <f>+'Mats+Insumos'!C158</f>
        <v>44103103</v>
      </c>
      <c r="D155" s="21" t="s">
        <v>259</v>
      </c>
      <c r="E155" s="20" t="str">
        <f>+'Mats+Insumos'!I158</f>
        <v>UNIDAD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23">
        <f t="shared" si="2"/>
        <v>0</v>
      </c>
    </row>
    <row r="156" spans="2:23" x14ac:dyDescent="0.3">
      <c r="B156" s="18">
        <f>+'Mats+Insumos'!B159</f>
        <v>152</v>
      </c>
      <c r="C156" s="19">
        <f>+'Mats+Insumos'!C159</f>
        <v>44103103</v>
      </c>
      <c r="D156" s="21" t="s">
        <v>260</v>
      </c>
      <c r="E156" s="20" t="str">
        <f>+'Mats+Insumos'!I159</f>
        <v>UNIDAD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23">
        <f t="shared" si="2"/>
        <v>0</v>
      </c>
    </row>
    <row r="157" spans="2:23" x14ac:dyDescent="0.3">
      <c r="B157" s="18">
        <f>+'Mats+Insumos'!B160</f>
        <v>153</v>
      </c>
      <c r="C157" s="19">
        <f>+'Mats+Insumos'!C160</f>
        <v>44103103</v>
      </c>
      <c r="D157" s="21" t="s">
        <v>261</v>
      </c>
      <c r="E157" s="20" t="str">
        <f>+'Mats+Insumos'!I160</f>
        <v>UNIDAD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23">
        <f t="shared" si="2"/>
        <v>0</v>
      </c>
    </row>
    <row r="158" spans="2:23" x14ac:dyDescent="0.3">
      <c r="B158" s="18">
        <f>+'Mats+Insumos'!B161</f>
        <v>154</v>
      </c>
      <c r="C158" s="19">
        <f>+'Mats+Insumos'!C161</f>
        <v>44103103</v>
      </c>
      <c r="D158" s="21" t="s">
        <v>263</v>
      </c>
      <c r="E158" s="20" t="str">
        <f>+'Mats+Insumos'!I161</f>
        <v>UNIDAD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23">
        <f t="shared" si="2"/>
        <v>0</v>
      </c>
    </row>
    <row r="159" spans="2:23" x14ac:dyDescent="0.3">
      <c r="B159" s="18">
        <f>+'Mats+Insumos'!B162</f>
        <v>155</v>
      </c>
      <c r="C159" s="19">
        <f>+'Mats+Insumos'!C162</f>
        <v>44103103</v>
      </c>
      <c r="D159" s="21" t="s">
        <v>264</v>
      </c>
      <c r="E159" s="20" t="str">
        <f>+'Mats+Insumos'!I162</f>
        <v>UNIDAD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23">
        <f t="shared" si="2"/>
        <v>0</v>
      </c>
    </row>
    <row r="160" spans="2:23" x14ac:dyDescent="0.3">
      <c r="B160" s="18">
        <f>+'Mats+Insumos'!B163</f>
        <v>156</v>
      </c>
      <c r="C160" s="19">
        <f>+'Mats+Insumos'!C163</f>
        <v>44103103</v>
      </c>
      <c r="D160" s="21" t="s">
        <v>265</v>
      </c>
      <c r="E160" s="20" t="str">
        <f>+'Mats+Insumos'!I163</f>
        <v>UNIDAD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23">
        <f t="shared" si="2"/>
        <v>0</v>
      </c>
    </row>
    <row r="161" spans="2:23" x14ac:dyDescent="0.3">
      <c r="B161" s="18">
        <f>+'Mats+Insumos'!B164</f>
        <v>157</v>
      </c>
      <c r="C161" s="19">
        <f>+'Mats+Insumos'!C164</f>
        <v>44103103</v>
      </c>
      <c r="D161" s="21" t="s">
        <v>266</v>
      </c>
      <c r="E161" s="20" t="str">
        <f>+'Mats+Insumos'!I164</f>
        <v>UNIDAD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23">
        <f t="shared" si="2"/>
        <v>0</v>
      </c>
    </row>
    <row r="162" spans="2:23" x14ac:dyDescent="0.3">
      <c r="B162" s="18">
        <f>+'Mats+Insumos'!B165</f>
        <v>158</v>
      </c>
      <c r="C162" s="19">
        <f>+'Mats+Insumos'!C165</f>
        <v>44103103</v>
      </c>
      <c r="D162" s="21" t="s">
        <v>267</v>
      </c>
      <c r="E162" s="20" t="str">
        <f>+'Mats+Insumos'!I165</f>
        <v>UNIDAD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23">
        <f t="shared" si="2"/>
        <v>0</v>
      </c>
    </row>
    <row r="163" spans="2:23" x14ac:dyDescent="0.3">
      <c r="B163" s="18">
        <f>+'Mats+Insumos'!B166</f>
        <v>159</v>
      </c>
      <c r="C163" s="19">
        <f>+'Mats+Insumos'!C166</f>
        <v>44103103</v>
      </c>
      <c r="D163" s="21" t="s">
        <v>268</v>
      </c>
      <c r="E163" s="20" t="str">
        <f>+'Mats+Insumos'!I166</f>
        <v>UNIDAD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23">
        <f t="shared" si="2"/>
        <v>0</v>
      </c>
    </row>
    <row r="164" spans="2:23" x14ac:dyDescent="0.3">
      <c r="B164" s="18">
        <f>+'Mats+Insumos'!B167</f>
        <v>160</v>
      </c>
      <c r="C164" s="19">
        <f>+'Mats+Insumos'!C167</f>
        <v>44103103</v>
      </c>
      <c r="D164" s="21" t="s">
        <v>270</v>
      </c>
      <c r="E164" s="20" t="str">
        <f>+'Mats+Insumos'!I167</f>
        <v>UNIDAD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23">
        <f t="shared" si="2"/>
        <v>0</v>
      </c>
    </row>
    <row r="165" spans="2:23" x14ac:dyDescent="0.3">
      <c r="B165" s="18">
        <f>+'Mats+Insumos'!B168</f>
        <v>161</v>
      </c>
      <c r="C165" s="19">
        <f>+'Mats+Insumos'!C168</f>
        <v>44103103</v>
      </c>
      <c r="D165" s="21" t="s">
        <v>271</v>
      </c>
      <c r="E165" s="20" t="str">
        <f>+'Mats+Insumos'!I168</f>
        <v>UNIDAD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23">
        <f t="shared" si="2"/>
        <v>0</v>
      </c>
    </row>
    <row r="166" spans="2:23" x14ac:dyDescent="0.3">
      <c r="B166" s="18">
        <f>+'Mats+Insumos'!B169</f>
        <v>162</v>
      </c>
      <c r="C166" s="19">
        <f>+'Mats+Insumos'!C169</f>
        <v>44103103</v>
      </c>
      <c r="D166" s="21" t="s">
        <v>272</v>
      </c>
      <c r="E166" s="20" t="str">
        <f>+'Mats+Insumos'!I169</f>
        <v>UNIDAD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23">
        <f t="shared" si="2"/>
        <v>0</v>
      </c>
    </row>
    <row r="167" spans="2:23" x14ac:dyDescent="0.3">
      <c r="B167" s="18">
        <f>+'Mats+Insumos'!B170</f>
        <v>163</v>
      </c>
      <c r="C167" s="19">
        <f>+'Mats+Insumos'!C170</f>
        <v>47121806</v>
      </c>
      <c r="D167" s="21" t="s">
        <v>273</v>
      </c>
      <c r="E167" s="20" t="str">
        <f>+'Mats+Insumos'!I170</f>
        <v>UNIDAD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>
        <v>2</v>
      </c>
      <c r="T167" s="40"/>
      <c r="U167" s="40"/>
      <c r="V167" s="40"/>
      <c r="W167" s="23">
        <f t="shared" si="2"/>
        <v>2</v>
      </c>
    </row>
    <row r="168" spans="2:23" x14ac:dyDescent="0.3">
      <c r="B168" s="18">
        <f>+'Mats+Insumos'!B171</f>
        <v>164</v>
      </c>
      <c r="C168" s="19">
        <f>+'Mats+Insumos'!C171</f>
        <v>44103103</v>
      </c>
      <c r="D168" s="21" t="s">
        <v>316</v>
      </c>
      <c r="E168" s="20" t="str">
        <f>+'Mats+Insumos'!I171</f>
        <v>PAQUETE</v>
      </c>
      <c r="F168" s="40">
        <f>2+2+2+4</f>
        <v>10</v>
      </c>
      <c r="G168" s="40"/>
      <c r="H168" s="40"/>
      <c r="I168" s="40"/>
      <c r="J168" s="40"/>
      <c r="K168" s="40"/>
      <c r="L168" s="40">
        <v>10</v>
      </c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23">
        <f t="shared" si="2"/>
        <v>20</v>
      </c>
    </row>
    <row r="169" spans="2:23" x14ac:dyDescent="0.3">
      <c r="B169" s="18">
        <f>+'Mats+Insumos'!B172</f>
        <v>165</v>
      </c>
      <c r="C169" s="19">
        <f>+'Mats+Insumos'!C172</f>
        <v>44103103</v>
      </c>
      <c r="D169" s="21" t="s">
        <v>317</v>
      </c>
      <c r="E169" s="28" t="str">
        <f>+'Mats+Insumos'!I172</f>
        <v>PAQUETE</v>
      </c>
      <c r="F169" s="40">
        <f>3+6+3+6</f>
        <v>18</v>
      </c>
      <c r="G169" s="40"/>
      <c r="H169" s="40"/>
      <c r="I169" s="40"/>
      <c r="J169" s="40"/>
      <c r="K169" s="40"/>
      <c r="L169" s="40"/>
      <c r="M169" s="40"/>
      <c r="N169" s="40"/>
      <c r="O169" s="40">
        <v>5</v>
      </c>
      <c r="P169" s="40"/>
      <c r="Q169" s="40"/>
      <c r="R169" s="40"/>
      <c r="S169" s="40"/>
      <c r="T169" s="40"/>
      <c r="U169" s="40"/>
      <c r="V169" s="40"/>
      <c r="W169" s="23">
        <f t="shared" si="2"/>
        <v>23</v>
      </c>
    </row>
    <row r="170" spans="2:23" x14ac:dyDescent="0.3">
      <c r="B170" s="18">
        <f>+'Mats+Insumos'!B173</f>
        <v>166</v>
      </c>
      <c r="C170" s="19">
        <f>+'Mats+Insumos'!C173</f>
        <v>56</v>
      </c>
      <c r="D170" s="20" t="s">
        <v>277</v>
      </c>
      <c r="E170" s="20" t="str">
        <f>+'Mats+Insumos'!I173</f>
        <v>UNIDAD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23">
        <f t="shared" si="2"/>
        <v>0</v>
      </c>
    </row>
    <row r="171" spans="2:23" x14ac:dyDescent="0.3">
      <c r="B171" s="18">
        <f>+'Mats+Insumos'!B174</f>
        <v>167</v>
      </c>
      <c r="C171" s="19">
        <f>+'Mats+Insumos'!C174</f>
        <v>57</v>
      </c>
      <c r="D171" s="20" t="s">
        <v>318</v>
      </c>
      <c r="E171" s="20" t="str">
        <f>+'Mats+Insumos'!I174</f>
        <v>UNIDAD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>
        <f>1</f>
        <v>1</v>
      </c>
      <c r="Q171" s="40"/>
      <c r="R171" s="40"/>
      <c r="S171" s="40">
        <v>15</v>
      </c>
      <c r="T171" s="40"/>
      <c r="U171" s="40"/>
      <c r="V171" s="40"/>
      <c r="W171" s="23">
        <f t="shared" si="2"/>
        <v>16</v>
      </c>
    </row>
    <row r="172" spans="2:23" x14ac:dyDescent="0.3">
      <c r="B172" s="18">
        <f>+'Mats+Insumos'!B175</f>
        <v>168</v>
      </c>
      <c r="C172" s="19">
        <f>+'Mats+Insumos'!C175</f>
        <v>58</v>
      </c>
      <c r="D172" s="20" t="s">
        <v>319</v>
      </c>
      <c r="E172" s="20" t="str">
        <f>+'Mats+Insumos'!I175</f>
        <v>UNIDAD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23">
        <f>SUM(F172:V172)</f>
        <v>0</v>
      </c>
    </row>
    <row r="173" spans="2:23" x14ac:dyDescent="0.3">
      <c r="B173" s="18">
        <f>+'Mats+Insumos'!B176</f>
        <v>169</v>
      </c>
      <c r="C173" s="19">
        <f>+'Mats+Insumos'!C176</f>
        <v>59</v>
      </c>
      <c r="D173" s="20" t="str">
        <f>+'Mats+Insumos'!D176</f>
        <v>CREMERAS</v>
      </c>
      <c r="E173" s="20" t="str">
        <f>+'Mats+Insumos'!I176</f>
        <v>UNIDAD</v>
      </c>
      <c r="F173" s="40"/>
      <c r="G173" s="40"/>
      <c r="H173" s="40"/>
      <c r="I173" s="40"/>
      <c r="J173" s="40"/>
      <c r="K173" s="40"/>
      <c r="L173" s="40">
        <v>4</v>
      </c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23">
        <f t="shared" ref="W173:W174" si="3">SUM(F173:V173)</f>
        <v>4</v>
      </c>
    </row>
    <row r="174" spans="2:23" x14ac:dyDescent="0.3">
      <c r="B174" s="18">
        <f>+'Mats+Insumos'!B177</f>
        <v>170</v>
      </c>
      <c r="C174" s="19">
        <f>+'Mats+Insumos'!C177</f>
        <v>60</v>
      </c>
      <c r="D174" s="20" t="str">
        <f>+'Mats+Insumos'!D177</f>
        <v>ATOMIZADOR</v>
      </c>
      <c r="E174" s="20" t="str">
        <f>+'Mats+Insumos'!I177</f>
        <v>UNIDAD</v>
      </c>
      <c r="F174" s="40"/>
      <c r="G174" s="40"/>
      <c r="H174" s="40"/>
      <c r="I174" s="40"/>
      <c r="J174" s="40"/>
      <c r="K174" s="40"/>
      <c r="L174" s="40">
        <f>5+9</f>
        <v>14</v>
      </c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23">
        <f t="shared" si="3"/>
        <v>14</v>
      </c>
    </row>
    <row r="175" spans="2:23" x14ac:dyDescent="0.3">
      <c r="F175" s="41">
        <f t="shared" ref="F175:W175" si="4">SUM(F5:F174)</f>
        <v>175</v>
      </c>
      <c r="G175" s="41">
        <f t="shared" si="4"/>
        <v>0</v>
      </c>
      <c r="H175" s="41">
        <f t="shared" si="4"/>
        <v>93</v>
      </c>
      <c r="I175" s="41">
        <f t="shared" si="4"/>
        <v>34</v>
      </c>
      <c r="J175" s="41">
        <f t="shared" si="4"/>
        <v>0</v>
      </c>
      <c r="K175" s="41">
        <f t="shared" si="4"/>
        <v>0</v>
      </c>
      <c r="L175" s="41">
        <f t="shared" si="4"/>
        <v>248</v>
      </c>
      <c r="M175" s="41">
        <f t="shared" si="4"/>
        <v>1</v>
      </c>
      <c r="N175" s="41">
        <f t="shared" si="4"/>
        <v>0</v>
      </c>
      <c r="O175" s="41">
        <f t="shared" si="4"/>
        <v>156</v>
      </c>
      <c r="P175" s="41">
        <f t="shared" si="4"/>
        <v>6</v>
      </c>
      <c r="Q175" s="41">
        <f t="shared" si="4"/>
        <v>0</v>
      </c>
      <c r="R175" s="41">
        <f t="shared" si="4"/>
        <v>0</v>
      </c>
      <c r="S175" s="41">
        <f t="shared" si="4"/>
        <v>156</v>
      </c>
      <c r="T175" s="41">
        <f t="shared" si="4"/>
        <v>16</v>
      </c>
      <c r="U175" s="41">
        <f t="shared" si="4"/>
        <v>20</v>
      </c>
      <c r="V175" s="41">
        <f t="shared" si="4"/>
        <v>4</v>
      </c>
      <c r="W175" s="42">
        <f t="shared" si="4"/>
        <v>909</v>
      </c>
    </row>
    <row r="176" spans="2:23" x14ac:dyDescent="0.3">
      <c r="W176" s="24">
        <f>SUM(F175:V175)-W175</f>
        <v>0</v>
      </c>
    </row>
  </sheetData>
  <mergeCells count="2">
    <mergeCell ref="F3:V3"/>
    <mergeCell ref="K2:P2"/>
  </mergeCells>
  <pageMargins left="0.25" right="0.25" top="0.75" bottom="0.75" header="0.3" footer="0.3"/>
  <pageSetup orientation="portrait" r:id="rId1"/>
  <ignoredErrors>
    <ignoredError sqref="G175:V17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D940-29C5-4049-8A60-616CFF1278EA}">
  <sheetPr>
    <pageSetUpPr fitToPage="1"/>
  </sheetPr>
  <dimension ref="B2:M204"/>
  <sheetViews>
    <sheetView tabSelected="1" zoomScale="140" zoomScaleNormal="140" workbookViewId="0">
      <selection activeCell="L205" sqref="B1:L205"/>
    </sheetView>
  </sheetViews>
  <sheetFormatPr baseColWidth="10" defaultColWidth="10.88671875" defaultRowHeight="14.4" x14ac:dyDescent="0.3"/>
  <cols>
    <col min="1" max="1" width="1.6640625" customWidth="1"/>
    <col min="2" max="2" width="10.44140625" customWidth="1"/>
    <col min="3" max="3" width="27.6640625" customWidth="1"/>
    <col min="4" max="4" width="6.44140625" customWidth="1"/>
    <col min="5" max="5" width="11.6640625" customWidth="1"/>
    <col min="6" max="9" width="9.44140625" customWidth="1"/>
    <col min="10" max="10" width="10.88671875" customWidth="1"/>
    <col min="11" max="11" width="9.109375" bestFit="1" customWidth="1"/>
    <col min="12" max="12" width="11.6640625" bestFit="1" customWidth="1"/>
    <col min="13" max="13" width="11.5546875" bestFit="1" customWidth="1"/>
  </cols>
  <sheetData>
    <row r="2" spans="2:13" ht="17.399999999999999" x14ac:dyDescent="0.35">
      <c r="B2" s="1"/>
      <c r="E2" s="2"/>
      <c r="F2" s="3"/>
      <c r="G2" s="3"/>
      <c r="H2" s="3"/>
      <c r="I2" s="3"/>
      <c r="J2" s="3"/>
      <c r="K2" s="4"/>
      <c r="L2" s="5"/>
    </row>
    <row r="3" spans="2:13" ht="17.399999999999999" x14ac:dyDescent="0.35">
      <c r="B3" s="1"/>
      <c r="D3" s="111" t="s">
        <v>0</v>
      </c>
      <c r="E3" s="111"/>
      <c r="F3" s="111"/>
      <c r="G3" s="111"/>
      <c r="H3" s="111"/>
      <c r="I3" s="111"/>
      <c r="J3" s="111"/>
      <c r="K3" s="111"/>
      <c r="L3" s="6"/>
    </row>
    <row r="4" spans="2:13" ht="17.399999999999999" x14ac:dyDescent="0.35">
      <c r="B4" s="1"/>
      <c r="D4" s="111" t="s">
        <v>1</v>
      </c>
      <c r="E4" s="111"/>
      <c r="F4" s="111"/>
      <c r="G4" s="111"/>
      <c r="H4" s="111"/>
      <c r="I4" s="111"/>
      <c r="J4" s="111"/>
      <c r="K4" s="111"/>
      <c r="L4" s="8"/>
    </row>
    <row r="5" spans="2:13" ht="18" x14ac:dyDescent="0.35">
      <c r="B5" s="9"/>
      <c r="D5" s="112" t="s">
        <v>353</v>
      </c>
      <c r="E5" s="112"/>
      <c r="F5" s="112"/>
      <c r="G5" s="112"/>
      <c r="H5" s="112"/>
      <c r="I5" s="112"/>
      <c r="J5" s="112"/>
      <c r="K5" s="112"/>
      <c r="L5" s="9"/>
    </row>
    <row r="6" spans="2:13" x14ac:dyDescent="0.3">
      <c r="B6" s="11"/>
      <c r="C6" s="11"/>
      <c r="D6" s="11"/>
      <c r="E6" s="11"/>
      <c r="F6" s="11"/>
      <c r="G6" s="11"/>
      <c r="H6" s="11"/>
      <c r="I6" s="11"/>
      <c r="J6" s="11"/>
      <c r="K6" s="13"/>
      <c r="L6" s="13"/>
    </row>
    <row r="7" spans="2:13" s="113" customFormat="1" ht="27" customHeight="1" x14ac:dyDescent="0.3">
      <c r="B7" s="47" t="s">
        <v>4</v>
      </c>
      <c r="C7" s="47" t="s">
        <v>5</v>
      </c>
      <c r="D7" s="47" t="s">
        <v>6</v>
      </c>
      <c r="E7" s="47" t="s">
        <v>7</v>
      </c>
      <c r="F7" s="47" t="s">
        <v>8</v>
      </c>
      <c r="G7" s="91" t="s">
        <v>320</v>
      </c>
      <c r="H7" s="91" t="s">
        <v>321</v>
      </c>
      <c r="I7" s="91" t="s">
        <v>322</v>
      </c>
      <c r="J7" s="47" t="s">
        <v>10</v>
      </c>
      <c r="K7" s="48" t="s">
        <v>11</v>
      </c>
      <c r="L7" s="48" t="s">
        <v>12</v>
      </c>
    </row>
    <row r="8" spans="2:13" s="31" customFormat="1" ht="15.75" customHeight="1" x14ac:dyDescent="0.3">
      <c r="B8" s="50">
        <v>44103103</v>
      </c>
      <c r="C8" s="21" t="s">
        <v>250</v>
      </c>
      <c r="D8" s="49" t="s">
        <v>25</v>
      </c>
      <c r="E8" s="57">
        <v>45363</v>
      </c>
      <c r="F8" s="57">
        <v>45363</v>
      </c>
      <c r="G8" s="54">
        <v>28</v>
      </c>
      <c r="H8" s="54">
        <v>8</v>
      </c>
      <c r="I8" s="54">
        <f>+G8-H8</f>
        <v>20</v>
      </c>
      <c r="J8" s="58" t="s">
        <v>28</v>
      </c>
      <c r="K8" s="59">
        <v>5824.55</v>
      </c>
      <c r="L8" s="53">
        <v>116491</v>
      </c>
      <c r="M8" s="93"/>
    </row>
    <row r="9" spans="2:13" s="31" customFormat="1" x14ac:dyDescent="0.3">
      <c r="B9" s="50">
        <v>44103105</v>
      </c>
      <c r="C9" s="20" t="s">
        <v>323</v>
      </c>
      <c r="D9" s="49" t="s">
        <v>25</v>
      </c>
      <c r="E9" s="57">
        <v>45363</v>
      </c>
      <c r="F9" s="57">
        <v>45363</v>
      </c>
      <c r="G9" s="54">
        <v>35</v>
      </c>
      <c r="H9" s="54">
        <v>1</v>
      </c>
      <c r="I9" s="54">
        <f t="shared" ref="I9:I16" si="0">+G9-H9</f>
        <v>34</v>
      </c>
      <c r="J9" s="58" t="s">
        <v>28</v>
      </c>
      <c r="K9" s="88">
        <v>3865.17</v>
      </c>
      <c r="L9" s="53">
        <f t="shared" ref="L9:L13" si="1">+I9*K9</f>
        <v>131415.78</v>
      </c>
    </row>
    <row r="10" spans="2:13" s="31" customFormat="1" x14ac:dyDescent="0.3">
      <c r="B10" s="50">
        <v>44103103</v>
      </c>
      <c r="C10" s="21" t="s">
        <v>244</v>
      </c>
      <c r="D10" s="49" t="s">
        <v>25</v>
      </c>
      <c r="E10" s="57">
        <v>45363</v>
      </c>
      <c r="F10" s="57">
        <v>45363</v>
      </c>
      <c r="G10" s="54">
        <v>17</v>
      </c>
      <c r="H10" s="54">
        <v>0</v>
      </c>
      <c r="I10" s="54">
        <f t="shared" si="0"/>
        <v>17</v>
      </c>
      <c r="J10" s="58" t="s">
        <v>28</v>
      </c>
      <c r="K10" s="59">
        <v>12450</v>
      </c>
      <c r="L10" s="53">
        <f t="shared" si="1"/>
        <v>211650</v>
      </c>
      <c r="M10" s="94"/>
    </row>
    <row r="11" spans="2:13" s="31" customFormat="1" x14ac:dyDescent="0.3">
      <c r="B11" s="50">
        <v>44103103</v>
      </c>
      <c r="C11" s="21" t="s">
        <v>245</v>
      </c>
      <c r="D11" s="49" t="s">
        <v>25</v>
      </c>
      <c r="E11" s="57">
        <v>45363</v>
      </c>
      <c r="F11" s="57">
        <v>45363</v>
      </c>
      <c r="G11" s="54">
        <v>28</v>
      </c>
      <c r="H11" s="54"/>
      <c r="I11" s="54">
        <f t="shared" si="0"/>
        <v>28</v>
      </c>
      <c r="J11" s="58" t="s">
        <v>28</v>
      </c>
      <c r="K11" s="59">
        <v>4253.62</v>
      </c>
      <c r="L11" s="53">
        <f t="shared" si="1"/>
        <v>119101.36</v>
      </c>
      <c r="M11" s="94"/>
    </row>
    <row r="12" spans="2:13" s="31" customFormat="1" x14ac:dyDescent="0.3">
      <c r="B12" s="50">
        <v>44103103</v>
      </c>
      <c r="C12" s="21" t="s">
        <v>267</v>
      </c>
      <c r="D12" s="49" t="s">
        <v>25</v>
      </c>
      <c r="E12" s="57">
        <v>45363</v>
      </c>
      <c r="F12" s="57">
        <v>45363</v>
      </c>
      <c r="G12" s="95">
        <v>40</v>
      </c>
      <c r="H12" s="54">
        <v>15</v>
      </c>
      <c r="I12" s="54">
        <f t="shared" si="0"/>
        <v>25</v>
      </c>
      <c r="J12" s="58" t="s">
        <v>28</v>
      </c>
      <c r="K12" s="59">
        <v>5354.23</v>
      </c>
      <c r="L12" s="88">
        <f t="shared" si="1"/>
        <v>133855.75</v>
      </c>
      <c r="M12" s="94"/>
    </row>
    <row r="13" spans="2:13" s="31" customFormat="1" x14ac:dyDescent="0.3">
      <c r="B13" s="50">
        <v>44103103</v>
      </c>
      <c r="C13" s="21" t="s">
        <v>270</v>
      </c>
      <c r="D13" s="49" t="s">
        <v>25</v>
      </c>
      <c r="E13" s="57">
        <v>45363</v>
      </c>
      <c r="F13" s="57">
        <v>45363</v>
      </c>
      <c r="G13" s="54">
        <v>11</v>
      </c>
      <c r="H13" s="54"/>
      <c r="I13" s="54">
        <f t="shared" si="0"/>
        <v>11</v>
      </c>
      <c r="J13" s="58" t="s">
        <v>28</v>
      </c>
      <c r="K13" s="59">
        <v>4367.4799999999996</v>
      </c>
      <c r="L13" s="53">
        <f t="shared" si="1"/>
        <v>48042.28</v>
      </c>
    </row>
    <row r="14" spans="2:13" s="31" customFormat="1" x14ac:dyDescent="0.3">
      <c r="B14" s="50">
        <v>44103103</v>
      </c>
      <c r="C14" s="21" t="s">
        <v>249</v>
      </c>
      <c r="D14" s="49" t="s">
        <v>25</v>
      </c>
      <c r="E14" s="57">
        <v>45363</v>
      </c>
      <c r="F14" s="57">
        <v>45363</v>
      </c>
      <c r="G14" s="95">
        <v>27</v>
      </c>
      <c r="H14" s="54">
        <v>2</v>
      </c>
      <c r="I14" s="54">
        <f t="shared" si="0"/>
        <v>25</v>
      </c>
      <c r="J14" s="58" t="s">
        <v>28</v>
      </c>
      <c r="K14" s="59">
        <v>7521.98</v>
      </c>
      <c r="L14" s="53">
        <f>+I14*K14</f>
        <v>188049.5</v>
      </c>
    </row>
    <row r="15" spans="2:13" s="31" customFormat="1" x14ac:dyDescent="0.3">
      <c r="B15" s="50">
        <v>44103103</v>
      </c>
      <c r="C15" s="21" t="s">
        <v>246</v>
      </c>
      <c r="D15" s="49" t="s">
        <v>25</v>
      </c>
      <c r="E15" s="57">
        <v>45363</v>
      </c>
      <c r="F15" s="57">
        <v>45363</v>
      </c>
      <c r="G15" s="54">
        <v>26</v>
      </c>
      <c r="H15" s="54">
        <v>4</v>
      </c>
      <c r="I15" s="54">
        <f t="shared" si="0"/>
        <v>22</v>
      </c>
      <c r="J15" s="58" t="s">
        <v>28</v>
      </c>
      <c r="K15" s="59">
        <v>7521.98</v>
      </c>
      <c r="L15" s="53">
        <f>+I15*K15</f>
        <v>165483.56</v>
      </c>
    </row>
    <row r="16" spans="2:13" s="31" customFormat="1" x14ac:dyDescent="0.3">
      <c r="B16" s="50">
        <v>44103103</v>
      </c>
      <c r="C16" s="21" t="s">
        <v>247</v>
      </c>
      <c r="D16" s="49" t="s">
        <v>25</v>
      </c>
      <c r="E16" s="57">
        <v>45363</v>
      </c>
      <c r="F16" s="57">
        <v>45363</v>
      </c>
      <c r="G16" s="54">
        <v>21</v>
      </c>
      <c r="H16" s="54">
        <v>4</v>
      </c>
      <c r="I16" s="95">
        <f t="shared" si="0"/>
        <v>17</v>
      </c>
      <c r="J16" s="58" t="s">
        <v>28</v>
      </c>
      <c r="K16" s="59">
        <v>7521.32</v>
      </c>
      <c r="L16" s="88">
        <f>+I16*K16</f>
        <v>127862.44</v>
      </c>
    </row>
    <row r="17" spans="2:12" s="31" customFormat="1" x14ac:dyDescent="0.3">
      <c r="B17" s="56">
        <v>14111508</v>
      </c>
      <c r="C17" s="21" t="s">
        <v>324</v>
      </c>
      <c r="D17" s="49" t="s">
        <v>25</v>
      </c>
      <c r="E17" s="57">
        <v>45363</v>
      </c>
      <c r="F17" s="57">
        <v>45363</v>
      </c>
      <c r="G17" s="54">
        <v>10</v>
      </c>
      <c r="H17" s="54">
        <v>0</v>
      </c>
      <c r="I17" s="54">
        <f t="shared" ref="I17:I33" si="2">+G17-H17</f>
        <v>10</v>
      </c>
      <c r="J17" s="58" t="s">
        <v>28</v>
      </c>
      <c r="K17" s="59">
        <v>13006.46</v>
      </c>
      <c r="L17" s="88">
        <f t="shared" ref="L17:L24" si="3">+I17*K17</f>
        <v>130064.59999999999</v>
      </c>
    </row>
    <row r="18" spans="2:12" s="31" customFormat="1" x14ac:dyDescent="0.3">
      <c r="B18" s="56">
        <v>14111509</v>
      </c>
      <c r="C18" s="21" t="s">
        <v>325</v>
      </c>
      <c r="D18" s="49" t="s">
        <v>25</v>
      </c>
      <c r="E18" s="57">
        <v>45363</v>
      </c>
      <c r="F18" s="57">
        <v>45363</v>
      </c>
      <c r="G18" s="54">
        <v>10</v>
      </c>
      <c r="H18" s="54">
        <v>0</v>
      </c>
      <c r="I18" s="54">
        <f t="shared" si="2"/>
        <v>10</v>
      </c>
      <c r="J18" s="58" t="s">
        <v>28</v>
      </c>
      <c r="K18" s="59">
        <v>13006.46</v>
      </c>
      <c r="L18" s="88">
        <f t="shared" si="3"/>
        <v>130064.59999999999</v>
      </c>
    </row>
    <row r="19" spans="2:12" s="31" customFormat="1" x14ac:dyDescent="0.3">
      <c r="B19" s="56">
        <v>14111510</v>
      </c>
      <c r="C19" s="21" t="s">
        <v>326</v>
      </c>
      <c r="D19" s="49" t="s">
        <v>25</v>
      </c>
      <c r="E19" s="57">
        <v>45363</v>
      </c>
      <c r="F19" s="57">
        <v>45363</v>
      </c>
      <c r="G19" s="54">
        <v>10</v>
      </c>
      <c r="H19" s="54">
        <v>0</v>
      </c>
      <c r="I19" s="95">
        <f t="shared" si="2"/>
        <v>10</v>
      </c>
      <c r="J19" s="58" t="s">
        <v>28</v>
      </c>
      <c r="K19" s="59">
        <v>9715.76</v>
      </c>
      <c r="L19" s="88">
        <f t="shared" si="3"/>
        <v>97157.6</v>
      </c>
    </row>
    <row r="20" spans="2:12" s="31" customFormat="1" x14ac:dyDescent="0.3">
      <c r="B20" s="56">
        <v>14111512</v>
      </c>
      <c r="C20" s="21" t="s">
        <v>327</v>
      </c>
      <c r="D20" s="49" t="s">
        <v>25</v>
      </c>
      <c r="E20" s="57">
        <v>45363</v>
      </c>
      <c r="F20" s="57">
        <v>45363</v>
      </c>
      <c r="G20" s="54">
        <v>24</v>
      </c>
      <c r="H20" s="54">
        <v>1</v>
      </c>
      <c r="I20" s="54">
        <f t="shared" si="2"/>
        <v>23</v>
      </c>
      <c r="J20" s="58" t="s">
        <v>28</v>
      </c>
      <c r="K20" s="59">
        <v>6306.02</v>
      </c>
      <c r="L20" s="88">
        <f t="shared" si="3"/>
        <v>145038.46000000002</v>
      </c>
    </row>
    <row r="21" spans="2:12" s="31" customFormat="1" x14ac:dyDescent="0.3">
      <c r="B21" s="56">
        <v>14111511</v>
      </c>
      <c r="C21" s="21" t="s">
        <v>328</v>
      </c>
      <c r="D21" s="49" t="s">
        <v>25</v>
      </c>
      <c r="E21" s="57">
        <v>45363</v>
      </c>
      <c r="F21" s="57">
        <v>45363</v>
      </c>
      <c r="G21" s="54">
        <v>24</v>
      </c>
      <c r="H21" s="54">
        <v>1</v>
      </c>
      <c r="I21" s="54">
        <f t="shared" si="2"/>
        <v>23</v>
      </c>
      <c r="J21" s="58" t="s">
        <v>28</v>
      </c>
      <c r="K21" s="59">
        <v>6306.02</v>
      </c>
      <c r="L21" s="88">
        <f t="shared" si="3"/>
        <v>145038.46000000002</v>
      </c>
    </row>
    <row r="22" spans="2:12" s="31" customFormat="1" x14ac:dyDescent="0.3">
      <c r="B22" s="56">
        <v>14111511</v>
      </c>
      <c r="C22" s="21" t="s">
        <v>329</v>
      </c>
      <c r="D22" s="49" t="s">
        <v>25</v>
      </c>
      <c r="E22" s="57">
        <v>45363</v>
      </c>
      <c r="F22" s="57">
        <v>45363</v>
      </c>
      <c r="G22" s="54">
        <v>24</v>
      </c>
      <c r="H22" s="54">
        <v>1</v>
      </c>
      <c r="I22" s="54">
        <f t="shared" si="2"/>
        <v>23</v>
      </c>
      <c r="J22" s="58" t="s">
        <v>28</v>
      </c>
      <c r="K22" s="59">
        <v>6306.02</v>
      </c>
      <c r="L22" s="88">
        <f t="shared" si="3"/>
        <v>145038.46000000002</v>
      </c>
    </row>
    <row r="23" spans="2:12" s="31" customFormat="1" x14ac:dyDescent="0.3">
      <c r="B23" s="56">
        <v>14111511</v>
      </c>
      <c r="C23" s="21" t="s">
        <v>330</v>
      </c>
      <c r="D23" s="49" t="s">
        <v>25</v>
      </c>
      <c r="E23" s="57">
        <v>45363</v>
      </c>
      <c r="F23" s="57">
        <v>45363</v>
      </c>
      <c r="G23" s="54">
        <v>24</v>
      </c>
      <c r="H23" s="54">
        <v>1</v>
      </c>
      <c r="I23" s="95">
        <f t="shared" si="2"/>
        <v>23</v>
      </c>
      <c r="J23" s="58" t="s">
        <v>28</v>
      </c>
      <c r="K23" s="59">
        <v>5226.24</v>
      </c>
      <c r="L23" s="88">
        <f t="shared" si="3"/>
        <v>120203.51999999999</v>
      </c>
    </row>
    <row r="24" spans="2:12" s="31" customFormat="1" x14ac:dyDescent="0.3">
      <c r="B24" s="56">
        <v>14111511</v>
      </c>
      <c r="C24" s="21" t="s">
        <v>331</v>
      </c>
      <c r="D24" s="49" t="s">
        <v>25</v>
      </c>
      <c r="E24" s="57">
        <v>45363</v>
      </c>
      <c r="F24" s="57">
        <v>45363</v>
      </c>
      <c r="G24" s="54">
        <v>10</v>
      </c>
      <c r="H24" s="54">
        <v>1</v>
      </c>
      <c r="I24" s="54">
        <f t="shared" si="2"/>
        <v>9</v>
      </c>
      <c r="J24" s="58" t="s">
        <v>28</v>
      </c>
      <c r="K24" s="59">
        <v>6352.91</v>
      </c>
      <c r="L24" s="88">
        <f t="shared" si="3"/>
        <v>57176.19</v>
      </c>
    </row>
    <row r="25" spans="2:12" s="31" customFormat="1" x14ac:dyDescent="0.3">
      <c r="B25" s="56">
        <v>14111511</v>
      </c>
      <c r="C25" s="21" t="s">
        <v>332</v>
      </c>
      <c r="D25" s="49" t="s">
        <v>25</v>
      </c>
      <c r="E25" s="57">
        <v>45363</v>
      </c>
      <c r="F25" s="57">
        <v>45363</v>
      </c>
      <c r="G25" s="54">
        <v>10</v>
      </c>
      <c r="H25" s="54">
        <v>1</v>
      </c>
      <c r="I25" s="54">
        <f t="shared" si="2"/>
        <v>9</v>
      </c>
      <c r="J25" s="58" t="s">
        <v>28</v>
      </c>
      <c r="K25" s="59">
        <v>2959.53</v>
      </c>
      <c r="L25" s="88">
        <v>26635.77</v>
      </c>
    </row>
    <row r="26" spans="2:12" s="31" customFormat="1" x14ac:dyDescent="0.3">
      <c r="B26" s="56">
        <v>14111511</v>
      </c>
      <c r="C26" s="21" t="s">
        <v>333</v>
      </c>
      <c r="D26" s="49" t="s">
        <v>25</v>
      </c>
      <c r="E26" s="57">
        <v>45363</v>
      </c>
      <c r="F26" s="57">
        <v>45363</v>
      </c>
      <c r="G26" s="54">
        <v>6</v>
      </c>
      <c r="H26" s="54">
        <v>0</v>
      </c>
      <c r="I26" s="54">
        <v>6</v>
      </c>
      <c r="J26" s="58" t="s">
        <v>28</v>
      </c>
      <c r="K26" s="59">
        <v>5721.11</v>
      </c>
      <c r="L26" s="88">
        <f>I26*K26</f>
        <v>34326.659999999996</v>
      </c>
    </row>
    <row r="27" spans="2:12" s="31" customFormat="1" x14ac:dyDescent="0.3">
      <c r="B27" s="56">
        <v>14111511</v>
      </c>
      <c r="C27" s="21" t="s">
        <v>334</v>
      </c>
      <c r="D27" s="49" t="s">
        <v>25</v>
      </c>
      <c r="E27" s="57">
        <v>45363</v>
      </c>
      <c r="F27" s="57">
        <v>45363</v>
      </c>
      <c r="G27" s="54">
        <v>10</v>
      </c>
      <c r="H27" s="54"/>
      <c r="I27" s="54">
        <v>10</v>
      </c>
      <c r="J27" s="58" t="s">
        <v>28</v>
      </c>
      <c r="K27" s="59">
        <v>13006.46</v>
      </c>
      <c r="L27" s="88">
        <v>130064.55</v>
      </c>
    </row>
    <row r="28" spans="2:12" s="31" customFormat="1" x14ac:dyDescent="0.3">
      <c r="B28" s="56">
        <v>14111511</v>
      </c>
      <c r="C28" s="21" t="s">
        <v>335</v>
      </c>
      <c r="D28" s="49" t="s">
        <v>25</v>
      </c>
      <c r="E28" s="57">
        <v>45363</v>
      </c>
      <c r="F28" s="57">
        <v>45363</v>
      </c>
      <c r="G28" s="54">
        <v>5</v>
      </c>
      <c r="H28" s="54"/>
      <c r="I28" s="54">
        <v>5</v>
      </c>
      <c r="J28" s="58" t="s">
        <v>28</v>
      </c>
      <c r="K28" s="59">
        <v>5432.37</v>
      </c>
      <c r="L28" s="88">
        <v>27161.888999999999</v>
      </c>
    </row>
    <row r="29" spans="2:12" s="31" customFormat="1" x14ac:dyDescent="0.3">
      <c r="B29" s="56">
        <v>14111511</v>
      </c>
      <c r="C29" s="21" t="s">
        <v>336</v>
      </c>
      <c r="D29" s="49" t="s">
        <v>25</v>
      </c>
      <c r="E29" s="57">
        <v>45363</v>
      </c>
      <c r="F29" s="57">
        <v>45363</v>
      </c>
      <c r="G29" s="54">
        <v>24</v>
      </c>
      <c r="H29" s="54"/>
      <c r="I29" s="54">
        <v>24</v>
      </c>
      <c r="J29" s="58" t="s">
        <v>28</v>
      </c>
      <c r="K29" s="59">
        <v>6317.72</v>
      </c>
      <c r="L29" s="88">
        <f>I29*K29</f>
        <v>151625.28</v>
      </c>
    </row>
    <row r="30" spans="2:12" s="31" customFormat="1" x14ac:dyDescent="0.3">
      <c r="B30" s="56">
        <v>14111511</v>
      </c>
      <c r="C30" s="21" t="s">
        <v>337</v>
      </c>
      <c r="D30" s="49" t="s">
        <v>25</v>
      </c>
      <c r="E30" s="57">
        <v>45363</v>
      </c>
      <c r="F30" s="57">
        <v>45363</v>
      </c>
      <c r="G30" s="54">
        <v>24</v>
      </c>
      <c r="H30" s="54"/>
      <c r="I30" s="54">
        <v>24</v>
      </c>
      <c r="J30" s="58" t="s">
        <v>28</v>
      </c>
      <c r="K30" s="59">
        <v>6317.72</v>
      </c>
      <c r="L30" s="88">
        <f>I30*K30</f>
        <v>151625.28</v>
      </c>
    </row>
    <row r="31" spans="2:12" s="31" customFormat="1" x14ac:dyDescent="0.3">
      <c r="B31" s="56">
        <v>14111511</v>
      </c>
      <c r="C31" s="21" t="s">
        <v>338</v>
      </c>
      <c r="D31" s="49" t="s">
        <v>25</v>
      </c>
      <c r="E31" s="57">
        <v>45363</v>
      </c>
      <c r="F31" s="57">
        <v>45363</v>
      </c>
      <c r="G31" s="54">
        <v>24</v>
      </c>
      <c r="H31" s="54"/>
      <c r="I31" s="54">
        <v>24</v>
      </c>
      <c r="J31" s="58" t="s">
        <v>28</v>
      </c>
      <c r="K31" s="59">
        <v>6317.72</v>
      </c>
      <c r="L31" s="88">
        <f>I31*K31</f>
        <v>151625.28</v>
      </c>
    </row>
    <row r="32" spans="2:12" s="31" customFormat="1" x14ac:dyDescent="0.3">
      <c r="B32" s="56">
        <v>14111511</v>
      </c>
      <c r="C32" s="21" t="s">
        <v>352</v>
      </c>
      <c r="D32" s="49" t="s">
        <v>25</v>
      </c>
      <c r="E32" s="57">
        <v>45363</v>
      </c>
      <c r="F32" s="57">
        <v>45363</v>
      </c>
      <c r="G32" s="54">
        <v>24</v>
      </c>
      <c r="H32" s="54">
        <v>5</v>
      </c>
      <c r="I32" s="54">
        <f>G32-H32</f>
        <v>19</v>
      </c>
      <c r="J32" s="58" t="s">
        <v>28</v>
      </c>
      <c r="K32" s="59">
        <v>5980.83</v>
      </c>
      <c r="L32" s="88">
        <f>I32*K32</f>
        <v>113635.77</v>
      </c>
    </row>
    <row r="33" spans="2:12" s="31" customFormat="1" x14ac:dyDescent="0.3">
      <c r="B33" s="56">
        <v>14111511</v>
      </c>
      <c r="C33" s="21" t="s">
        <v>339</v>
      </c>
      <c r="D33" s="49" t="s">
        <v>25</v>
      </c>
      <c r="E33" s="57">
        <v>45363</v>
      </c>
      <c r="F33" s="57">
        <v>45363</v>
      </c>
      <c r="G33" s="54">
        <v>24</v>
      </c>
      <c r="H33" s="54">
        <v>0</v>
      </c>
      <c r="I33" s="95">
        <f t="shared" si="2"/>
        <v>24</v>
      </c>
      <c r="J33" s="58" t="s">
        <v>28</v>
      </c>
      <c r="K33" s="59">
        <v>6620.06</v>
      </c>
      <c r="L33" s="53">
        <f t="shared" ref="L33:L63" si="4">+I33*K33</f>
        <v>158881.44</v>
      </c>
    </row>
    <row r="34" spans="2:12" s="31" customFormat="1" x14ac:dyDescent="0.3">
      <c r="B34" s="50">
        <v>1</v>
      </c>
      <c r="C34" s="20" t="s">
        <v>18</v>
      </c>
      <c r="D34" s="49" t="s">
        <v>25</v>
      </c>
      <c r="E34" s="57">
        <v>45357</v>
      </c>
      <c r="F34" s="57">
        <v>45357</v>
      </c>
      <c r="G34" s="54">
        <v>136</v>
      </c>
      <c r="H34" s="54">
        <v>44</v>
      </c>
      <c r="I34" s="95">
        <v>92</v>
      </c>
      <c r="J34" s="20" t="s">
        <v>19</v>
      </c>
      <c r="K34" s="53">
        <v>416</v>
      </c>
      <c r="L34" s="53">
        <f>+I34*K34</f>
        <v>38272</v>
      </c>
    </row>
    <row r="35" spans="2:12" s="31" customFormat="1" x14ac:dyDescent="0.3">
      <c r="B35" s="56">
        <v>53102509</v>
      </c>
      <c r="C35" s="21" t="s">
        <v>35</v>
      </c>
      <c r="D35" s="49" t="s">
        <v>25</v>
      </c>
      <c r="E35" s="57">
        <v>45357</v>
      </c>
      <c r="F35" s="57">
        <v>45357</v>
      </c>
      <c r="G35" s="54">
        <v>260</v>
      </c>
      <c r="H35" s="54">
        <v>53</v>
      </c>
      <c r="I35" s="54">
        <f t="shared" ref="I35:I58" si="5">+G35-H35</f>
        <v>207</v>
      </c>
      <c r="J35" s="58" t="s">
        <v>38</v>
      </c>
      <c r="K35" s="59">
        <v>27</v>
      </c>
      <c r="L35" s="53">
        <f t="shared" si="4"/>
        <v>5589</v>
      </c>
    </row>
    <row r="36" spans="2:12" s="31" customFormat="1" x14ac:dyDescent="0.3">
      <c r="B36" s="56" t="s">
        <v>40</v>
      </c>
      <c r="C36" s="21" t="s">
        <v>41</v>
      </c>
      <c r="D36" s="49" t="s">
        <v>25</v>
      </c>
      <c r="E36" s="57">
        <v>45357</v>
      </c>
      <c r="F36" s="57">
        <v>45357</v>
      </c>
      <c r="G36" s="54">
        <v>492</v>
      </c>
      <c r="H36" s="54">
        <v>41</v>
      </c>
      <c r="I36" s="54">
        <f t="shared" si="5"/>
        <v>451</v>
      </c>
      <c r="J36" s="58" t="s">
        <v>43</v>
      </c>
      <c r="K36" s="59">
        <v>110.63</v>
      </c>
      <c r="L36" s="53">
        <f t="shared" si="4"/>
        <v>49894.13</v>
      </c>
    </row>
    <row r="37" spans="2:12" s="31" customFormat="1" x14ac:dyDescent="0.3">
      <c r="B37" s="56" t="s">
        <v>44</v>
      </c>
      <c r="C37" s="21" t="s">
        <v>45</v>
      </c>
      <c r="D37" s="49" t="s">
        <v>25</v>
      </c>
      <c r="E37" s="57">
        <v>45357</v>
      </c>
      <c r="F37" s="57">
        <v>45357</v>
      </c>
      <c r="G37" s="54">
        <v>204</v>
      </c>
      <c r="H37" s="54">
        <v>8</v>
      </c>
      <c r="I37" s="54">
        <f t="shared" si="5"/>
        <v>196</v>
      </c>
      <c r="J37" s="58" t="s">
        <v>43</v>
      </c>
      <c r="K37" s="59">
        <v>110.63</v>
      </c>
      <c r="L37" s="53">
        <f t="shared" si="4"/>
        <v>21683.48</v>
      </c>
    </row>
    <row r="38" spans="2:12" s="31" customFormat="1" x14ac:dyDescent="0.3">
      <c r="B38" s="56">
        <v>60121535</v>
      </c>
      <c r="C38" s="21" t="s">
        <v>47</v>
      </c>
      <c r="D38" s="49" t="s">
        <v>25</v>
      </c>
      <c r="E38" s="57">
        <v>45357</v>
      </c>
      <c r="F38" s="57">
        <v>45357</v>
      </c>
      <c r="G38" s="54">
        <v>111</v>
      </c>
      <c r="H38" s="54">
        <v>0</v>
      </c>
      <c r="I38" s="54">
        <f t="shared" si="5"/>
        <v>111</v>
      </c>
      <c r="J38" s="58" t="s">
        <v>28</v>
      </c>
      <c r="K38" s="59">
        <v>6</v>
      </c>
      <c r="L38" s="53">
        <f t="shared" si="4"/>
        <v>666</v>
      </c>
    </row>
    <row r="39" spans="2:12" s="31" customFormat="1" x14ac:dyDescent="0.3">
      <c r="B39" s="56" t="s">
        <v>59</v>
      </c>
      <c r="C39" s="21" t="s">
        <v>60</v>
      </c>
      <c r="D39" s="49" t="s">
        <v>25</v>
      </c>
      <c r="E39" s="57">
        <v>45357</v>
      </c>
      <c r="F39" s="57">
        <v>45357</v>
      </c>
      <c r="G39" s="54">
        <v>268</v>
      </c>
      <c r="H39" s="54">
        <v>24</v>
      </c>
      <c r="I39" s="95">
        <f t="shared" si="5"/>
        <v>244</v>
      </c>
      <c r="J39" s="58" t="s">
        <v>28</v>
      </c>
      <c r="K39" s="59">
        <v>135</v>
      </c>
      <c r="L39" s="53">
        <f t="shared" si="4"/>
        <v>32940</v>
      </c>
    </row>
    <row r="40" spans="2:12" s="31" customFormat="1" x14ac:dyDescent="0.3">
      <c r="B40" s="56" t="s">
        <v>59</v>
      </c>
      <c r="C40" s="21" t="s">
        <v>61</v>
      </c>
      <c r="D40" s="49" t="s">
        <v>25</v>
      </c>
      <c r="E40" s="57">
        <v>45357</v>
      </c>
      <c r="F40" s="57">
        <v>45357</v>
      </c>
      <c r="G40" s="54">
        <v>241</v>
      </c>
      <c r="H40" s="54">
        <v>24</v>
      </c>
      <c r="I40" s="54">
        <f t="shared" si="5"/>
        <v>217</v>
      </c>
      <c r="J40" s="58" t="s">
        <v>28</v>
      </c>
      <c r="K40" s="59">
        <v>219.01</v>
      </c>
      <c r="L40" s="53">
        <f t="shared" si="4"/>
        <v>47525.17</v>
      </c>
    </row>
    <row r="41" spans="2:12" s="31" customFormat="1" x14ac:dyDescent="0.3">
      <c r="B41" s="56" t="s">
        <v>123</v>
      </c>
      <c r="C41" s="21" t="s">
        <v>124</v>
      </c>
      <c r="D41" s="49" t="s">
        <v>25</v>
      </c>
      <c r="E41" s="57">
        <v>45357</v>
      </c>
      <c r="F41" s="57">
        <v>45357</v>
      </c>
      <c r="G41" s="54">
        <v>23</v>
      </c>
      <c r="H41" s="54">
        <v>10</v>
      </c>
      <c r="I41" s="54">
        <f t="shared" si="5"/>
        <v>13</v>
      </c>
      <c r="J41" s="58" t="s">
        <v>38</v>
      </c>
      <c r="K41" s="59">
        <v>271.39999999999998</v>
      </c>
      <c r="L41" s="53">
        <f t="shared" si="4"/>
        <v>3528.2</v>
      </c>
    </row>
    <row r="42" spans="2:12" s="31" customFormat="1" x14ac:dyDescent="0.3">
      <c r="B42" s="56">
        <v>44121615</v>
      </c>
      <c r="C42" s="21" t="s">
        <v>142</v>
      </c>
      <c r="D42" s="49" t="s">
        <v>25</v>
      </c>
      <c r="E42" s="57">
        <v>45357</v>
      </c>
      <c r="F42" s="57">
        <v>45357</v>
      </c>
      <c r="G42" s="54">
        <v>144</v>
      </c>
      <c r="H42" s="54">
        <v>34</v>
      </c>
      <c r="I42" s="54">
        <f t="shared" si="5"/>
        <v>110</v>
      </c>
      <c r="J42" s="58" t="s">
        <v>28</v>
      </c>
      <c r="K42" s="59">
        <v>114</v>
      </c>
      <c r="L42" s="53">
        <f t="shared" si="4"/>
        <v>12540</v>
      </c>
    </row>
    <row r="43" spans="2:12" s="31" customFormat="1" x14ac:dyDescent="0.3">
      <c r="B43" s="63">
        <v>44121706</v>
      </c>
      <c r="C43" s="21" t="s">
        <v>151</v>
      </c>
      <c r="D43" s="49" t="s">
        <v>25</v>
      </c>
      <c r="E43" s="57">
        <v>45357</v>
      </c>
      <c r="F43" s="57">
        <v>45357</v>
      </c>
      <c r="G43" s="54">
        <v>659</v>
      </c>
      <c r="H43" s="54">
        <v>7</v>
      </c>
      <c r="I43" s="54">
        <f t="shared" si="5"/>
        <v>652</v>
      </c>
      <c r="J43" s="58" t="s">
        <v>43</v>
      </c>
      <c r="K43" s="59">
        <v>50</v>
      </c>
      <c r="L43" s="53">
        <f t="shared" si="4"/>
        <v>32600</v>
      </c>
    </row>
    <row r="44" spans="2:12" s="31" customFormat="1" x14ac:dyDescent="0.3">
      <c r="B44" s="56">
        <v>12161801</v>
      </c>
      <c r="C44" s="21" t="s">
        <v>155</v>
      </c>
      <c r="D44" s="49" t="s">
        <v>25</v>
      </c>
      <c r="E44" s="57">
        <v>45357</v>
      </c>
      <c r="F44" s="57">
        <v>45357</v>
      </c>
      <c r="G44" s="54">
        <v>120</v>
      </c>
      <c r="H44" s="54">
        <v>2</v>
      </c>
      <c r="I44" s="95">
        <f t="shared" si="5"/>
        <v>118</v>
      </c>
      <c r="J44" s="58" t="s">
        <v>28</v>
      </c>
      <c r="K44" s="59">
        <v>168.012</v>
      </c>
      <c r="L44" s="53">
        <f t="shared" si="4"/>
        <v>19825.416000000001</v>
      </c>
    </row>
    <row r="45" spans="2:12" s="31" customFormat="1" x14ac:dyDescent="0.3">
      <c r="B45" s="56">
        <v>44111503</v>
      </c>
      <c r="C45" s="21" t="s">
        <v>170</v>
      </c>
      <c r="D45" s="49" t="s">
        <v>25</v>
      </c>
      <c r="E45" s="57">
        <v>45357</v>
      </c>
      <c r="F45" s="57">
        <v>45357</v>
      </c>
      <c r="G45" s="54">
        <v>72</v>
      </c>
      <c r="H45" s="54">
        <v>11</v>
      </c>
      <c r="I45" s="54">
        <f t="shared" si="5"/>
        <v>61</v>
      </c>
      <c r="J45" s="58" t="s">
        <v>28</v>
      </c>
      <c r="K45" s="59">
        <v>823.64</v>
      </c>
      <c r="L45" s="53">
        <f t="shared" si="4"/>
        <v>50242.04</v>
      </c>
    </row>
    <row r="46" spans="2:12" s="31" customFormat="1" x14ac:dyDescent="0.3">
      <c r="B46" s="50">
        <v>36</v>
      </c>
      <c r="C46" s="20" t="s">
        <v>180</v>
      </c>
      <c r="D46" s="20"/>
      <c r="E46" s="57">
        <v>45357</v>
      </c>
      <c r="F46" s="57">
        <v>45357</v>
      </c>
      <c r="G46" s="60">
        <v>400</v>
      </c>
      <c r="H46" s="54">
        <v>84</v>
      </c>
      <c r="I46" s="54">
        <f t="shared" si="5"/>
        <v>316</v>
      </c>
      <c r="J46" s="20" t="s">
        <v>130</v>
      </c>
      <c r="K46" s="53">
        <v>612.41999999999996</v>
      </c>
      <c r="L46" s="53">
        <f t="shared" si="4"/>
        <v>193524.72</v>
      </c>
    </row>
    <row r="47" spans="2:12" s="31" customFormat="1" x14ac:dyDescent="0.3">
      <c r="B47" s="50">
        <v>39</v>
      </c>
      <c r="C47" s="20" t="s">
        <v>184</v>
      </c>
      <c r="D47" s="20"/>
      <c r="E47" s="57">
        <v>45357</v>
      </c>
      <c r="F47" s="57">
        <v>45357</v>
      </c>
      <c r="G47" s="54">
        <v>300</v>
      </c>
      <c r="H47" s="54">
        <v>62</v>
      </c>
      <c r="I47" s="54">
        <f t="shared" si="5"/>
        <v>238</v>
      </c>
      <c r="J47" s="20" t="s">
        <v>54</v>
      </c>
      <c r="K47" s="53">
        <v>584.1</v>
      </c>
      <c r="L47" s="88">
        <f t="shared" si="4"/>
        <v>139015.80000000002</v>
      </c>
    </row>
    <row r="48" spans="2:12" s="31" customFormat="1" x14ac:dyDescent="0.3">
      <c r="B48" s="56">
        <v>44101716</v>
      </c>
      <c r="C48" s="99" t="s">
        <v>185</v>
      </c>
      <c r="D48" s="49" t="s">
        <v>25</v>
      </c>
      <c r="E48" s="57">
        <v>45357</v>
      </c>
      <c r="F48" s="57">
        <v>45357</v>
      </c>
      <c r="G48" s="54">
        <v>35</v>
      </c>
      <c r="H48" s="54">
        <v>0</v>
      </c>
      <c r="I48" s="95">
        <f t="shared" si="5"/>
        <v>35</v>
      </c>
      <c r="J48" s="58" t="s">
        <v>28</v>
      </c>
      <c r="K48" s="59">
        <v>267.86</v>
      </c>
      <c r="L48" s="88">
        <f t="shared" si="4"/>
        <v>9375.1</v>
      </c>
    </row>
    <row r="49" spans="2:12" s="31" customFormat="1" x14ac:dyDescent="0.3">
      <c r="B49" s="50">
        <v>14111530</v>
      </c>
      <c r="C49" s="21" t="s">
        <v>198</v>
      </c>
      <c r="D49" s="49" t="s">
        <v>25</v>
      </c>
      <c r="E49" s="57">
        <v>45357</v>
      </c>
      <c r="F49" s="57">
        <v>45357</v>
      </c>
      <c r="G49" s="54">
        <v>156</v>
      </c>
      <c r="H49" s="54">
        <v>6</v>
      </c>
      <c r="I49" s="54">
        <f t="shared" si="5"/>
        <v>150</v>
      </c>
      <c r="J49" s="58" t="s">
        <v>28</v>
      </c>
      <c r="K49" s="59">
        <v>44.07</v>
      </c>
      <c r="L49" s="88">
        <f t="shared" si="4"/>
        <v>6610.5</v>
      </c>
    </row>
    <row r="50" spans="2:12" s="31" customFormat="1" x14ac:dyDescent="0.3">
      <c r="B50" s="56" t="s">
        <v>200</v>
      </c>
      <c r="C50" s="21" t="s">
        <v>201</v>
      </c>
      <c r="D50" s="49" t="s">
        <v>25</v>
      </c>
      <c r="E50" s="57">
        <v>45357</v>
      </c>
      <c r="F50" s="57">
        <v>45357</v>
      </c>
      <c r="G50" s="54">
        <v>223</v>
      </c>
      <c r="H50" s="54">
        <v>12</v>
      </c>
      <c r="I50" s="54">
        <f t="shared" si="5"/>
        <v>211</v>
      </c>
      <c r="J50" s="58" t="s">
        <v>33</v>
      </c>
      <c r="K50" s="59">
        <v>170.01</v>
      </c>
      <c r="L50" s="88">
        <f t="shared" si="4"/>
        <v>35872.11</v>
      </c>
    </row>
    <row r="51" spans="2:12" s="31" customFormat="1" x14ac:dyDescent="0.3">
      <c r="B51" s="56" t="s">
        <v>204</v>
      </c>
      <c r="C51" s="21" t="s">
        <v>205</v>
      </c>
      <c r="D51" s="49" t="s">
        <v>25</v>
      </c>
      <c r="E51" s="57">
        <v>45357</v>
      </c>
      <c r="F51" s="57">
        <v>45357</v>
      </c>
      <c r="G51" s="54">
        <v>652</v>
      </c>
      <c r="H51" s="54">
        <v>8</v>
      </c>
      <c r="I51" s="54">
        <f t="shared" si="5"/>
        <v>644</v>
      </c>
      <c r="J51" s="58" t="s">
        <v>43</v>
      </c>
      <c r="K51" s="59">
        <v>10.81</v>
      </c>
      <c r="L51" s="88">
        <f t="shared" si="4"/>
        <v>6961.64</v>
      </c>
    </row>
    <row r="52" spans="2:12" s="31" customFormat="1" x14ac:dyDescent="0.3">
      <c r="B52" s="56">
        <v>44121619</v>
      </c>
      <c r="C52" s="21" t="s">
        <v>209</v>
      </c>
      <c r="D52" s="49" t="s">
        <v>25</v>
      </c>
      <c r="E52" s="57">
        <v>45357</v>
      </c>
      <c r="F52" s="57">
        <v>45357</v>
      </c>
      <c r="G52" s="54">
        <v>61</v>
      </c>
      <c r="H52" s="95">
        <v>0</v>
      </c>
      <c r="I52" s="54">
        <f t="shared" si="5"/>
        <v>61</v>
      </c>
      <c r="J52" s="58" t="s">
        <v>28</v>
      </c>
      <c r="K52" s="59">
        <v>8</v>
      </c>
      <c r="L52" s="88">
        <f t="shared" si="4"/>
        <v>488</v>
      </c>
    </row>
    <row r="53" spans="2:12" s="31" customFormat="1" x14ac:dyDescent="0.3">
      <c r="B53" s="50">
        <v>56</v>
      </c>
      <c r="C53" s="20" t="s">
        <v>278</v>
      </c>
      <c r="D53" s="49" t="s">
        <v>25</v>
      </c>
      <c r="E53" s="57">
        <v>45357</v>
      </c>
      <c r="F53" s="57">
        <v>45357</v>
      </c>
      <c r="G53" s="54">
        <v>350</v>
      </c>
      <c r="H53" s="54">
        <v>6</v>
      </c>
      <c r="I53" s="54">
        <f t="shared" si="5"/>
        <v>344</v>
      </c>
      <c r="J53" s="58" t="s">
        <v>28</v>
      </c>
      <c r="K53" s="53">
        <v>304.44</v>
      </c>
      <c r="L53" s="88">
        <f t="shared" si="4"/>
        <v>104727.36</v>
      </c>
    </row>
    <row r="54" spans="2:12" s="31" customFormat="1" x14ac:dyDescent="0.3">
      <c r="B54" s="56">
        <v>44121635</v>
      </c>
      <c r="C54" s="21" t="s">
        <v>72</v>
      </c>
      <c r="D54" s="49" t="s">
        <v>25</v>
      </c>
      <c r="E54" s="57">
        <v>45357</v>
      </c>
      <c r="F54" s="57">
        <v>45357</v>
      </c>
      <c r="G54" s="54">
        <v>254</v>
      </c>
      <c r="H54" s="54">
        <v>6</v>
      </c>
      <c r="I54" s="54">
        <f t="shared" si="5"/>
        <v>248</v>
      </c>
      <c r="J54" s="58" t="s">
        <v>28</v>
      </c>
      <c r="K54" s="59">
        <v>38.86</v>
      </c>
      <c r="L54" s="88">
        <f t="shared" si="4"/>
        <v>9637.2800000000007</v>
      </c>
    </row>
    <row r="55" spans="2:12" s="31" customFormat="1" x14ac:dyDescent="0.3">
      <c r="B55" s="56">
        <v>44121635</v>
      </c>
      <c r="C55" s="21" t="s">
        <v>74</v>
      </c>
      <c r="D55" s="49" t="s">
        <v>25</v>
      </c>
      <c r="E55" s="57">
        <v>45357</v>
      </c>
      <c r="F55" s="57">
        <v>45357</v>
      </c>
      <c r="G55" s="54">
        <v>833</v>
      </c>
      <c r="H55" s="54">
        <v>57</v>
      </c>
      <c r="I55" s="54">
        <f t="shared" si="5"/>
        <v>776</v>
      </c>
      <c r="J55" s="58" t="s">
        <v>28</v>
      </c>
      <c r="K55" s="59">
        <v>55</v>
      </c>
      <c r="L55" s="88">
        <f t="shared" si="4"/>
        <v>42680</v>
      </c>
    </row>
    <row r="56" spans="2:12" s="31" customFormat="1" x14ac:dyDescent="0.3">
      <c r="B56" s="63">
        <v>44121627</v>
      </c>
      <c r="C56" s="21" t="s">
        <v>164</v>
      </c>
      <c r="D56" s="49" t="s">
        <v>25</v>
      </c>
      <c r="E56" s="57">
        <v>45357</v>
      </c>
      <c r="F56" s="57">
        <v>45357</v>
      </c>
      <c r="G56" s="54">
        <v>353</v>
      </c>
      <c r="H56" s="54">
        <v>6</v>
      </c>
      <c r="I56" s="54">
        <f t="shared" si="5"/>
        <v>347</v>
      </c>
      <c r="J56" s="58" t="s">
        <v>43</v>
      </c>
      <c r="K56" s="59">
        <v>11</v>
      </c>
      <c r="L56" s="88">
        <f t="shared" si="4"/>
        <v>3817</v>
      </c>
    </row>
    <row r="57" spans="2:12" s="31" customFormat="1" x14ac:dyDescent="0.3">
      <c r="B57" s="63">
        <v>14111530</v>
      </c>
      <c r="C57" s="21" t="s">
        <v>168</v>
      </c>
      <c r="D57" s="49" t="s">
        <v>25</v>
      </c>
      <c r="E57" s="57">
        <v>45357</v>
      </c>
      <c r="F57" s="57">
        <v>45357</v>
      </c>
      <c r="G57" s="54">
        <v>1006</v>
      </c>
      <c r="H57" s="54">
        <v>12</v>
      </c>
      <c r="I57" s="54">
        <f t="shared" si="5"/>
        <v>994</v>
      </c>
      <c r="J57" s="58" t="s">
        <v>28</v>
      </c>
      <c r="K57" s="59">
        <v>24.19</v>
      </c>
      <c r="L57" s="88">
        <f t="shared" si="4"/>
        <v>24044.86</v>
      </c>
    </row>
    <row r="58" spans="2:12" s="31" customFormat="1" x14ac:dyDescent="0.3">
      <c r="B58" s="56" t="s">
        <v>174</v>
      </c>
      <c r="C58" s="21" t="s">
        <v>175</v>
      </c>
      <c r="D58" s="49" t="s">
        <v>25</v>
      </c>
      <c r="E58" s="57">
        <v>45357</v>
      </c>
      <c r="F58" s="57">
        <v>45357</v>
      </c>
      <c r="G58" s="54">
        <v>516</v>
      </c>
      <c r="H58" s="54">
        <v>40</v>
      </c>
      <c r="I58" s="54">
        <f t="shared" si="5"/>
        <v>476</v>
      </c>
      <c r="J58" s="58" t="s">
        <v>177</v>
      </c>
      <c r="K58" s="59">
        <v>200.6</v>
      </c>
      <c r="L58" s="88">
        <f t="shared" si="4"/>
        <v>95485.599999999991</v>
      </c>
    </row>
    <row r="59" spans="2:12" s="31" customFormat="1" x14ac:dyDescent="0.3">
      <c r="B59" s="56">
        <v>44121613</v>
      </c>
      <c r="C59" s="21" t="s">
        <v>208</v>
      </c>
      <c r="D59" s="49" t="s">
        <v>25</v>
      </c>
      <c r="E59" s="57">
        <v>45357</v>
      </c>
      <c r="F59" s="57">
        <v>45357</v>
      </c>
      <c r="G59" s="54">
        <v>161</v>
      </c>
      <c r="H59" s="54">
        <v>8</v>
      </c>
      <c r="I59" s="54">
        <v>153</v>
      </c>
      <c r="J59" s="58" t="s">
        <v>28</v>
      </c>
      <c r="K59" s="59">
        <v>25</v>
      </c>
      <c r="L59" s="88">
        <f t="shared" si="4"/>
        <v>3825</v>
      </c>
    </row>
    <row r="60" spans="2:12" s="31" customFormat="1" x14ac:dyDescent="0.3">
      <c r="B60" s="56">
        <v>44121505</v>
      </c>
      <c r="C60" s="21" t="s">
        <v>215</v>
      </c>
      <c r="D60" s="49" t="s">
        <v>25</v>
      </c>
      <c r="E60" s="57">
        <v>45357</v>
      </c>
      <c r="F60" s="57">
        <v>45357</v>
      </c>
      <c r="G60" s="54">
        <v>49</v>
      </c>
      <c r="H60" s="54">
        <v>1</v>
      </c>
      <c r="I60" s="54">
        <f>+G60-H60</f>
        <v>48</v>
      </c>
      <c r="J60" s="58" t="s">
        <v>38</v>
      </c>
      <c r="K60" s="89">
        <v>940</v>
      </c>
      <c r="L60" s="88">
        <f t="shared" si="4"/>
        <v>45120</v>
      </c>
    </row>
    <row r="61" spans="2:12" s="31" customFormat="1" x14ac:dyDescent="0.3">
      <c r="B61" s="56">
        <v>47121702</v>
      </c>
      <c r="C61" s="21" t="s">
        <v>228</v>
      </c>
      <c r="D61" s="49" t="s">
        <v>25</v>
      </c>
      <c r="E61" s="57">
        <v>45357</v>
      </c>
      <c r="F61" s="57">
        <v>45357</v>
      </c>
      <c r="G61" s="54">
        <v>544</v>
      </c>
      <c r="H61" s="54">
        <v>18</v>
      </c>
      <c r="I61" s="54">
        <f>+G61-H61</f>
        <v>526</v>
      </c>
      <c r="J61" s="58" t="s">
        <v>28</v>
      </c>
      <c r="K61" s="89">
        <v>72</v>
      </c>
      <c r="L61" s="88">
        <f t="shared" si="4"/>
        <v>37872</v>
      </c>
    </row>
    <row r="62" spans="2:12" s="31" customFormat="1" x14ac:dyDescent="0.3">
      <c r="B62" s="56">
        <v>44122105</v>
      </c>
      <c r="C62" s="21" t="s">
        <v>85</v>
      </c>
      <c r="D62" s="49" t="s">
        <v>25</v>
      </c>
      <c r="E62" s="57">
        <v>45357</v>
      </c>
      <c r="F62" s="57">
        <v>45357</v>
      </c>
      <c r="G62" s="54">
        <v>332</v>
      </c>
      <c r="H62" s="54">
        <v>1</v>
      </c>
      <c r="I62" s="54">
        <f>+G62-H62</f>
        <v>331</v>
      </c>
      <c r="J62" s="58" t="s">
        <v>38</v>
      </c>
      <c r="K62" s="59">
        <v>18.88</v>
      </c>
      <c r="L62" s="88">
        <f t="shared" si="4"/>
        <v>6249.28</v>
      </c>
    </row>
    <row r="63" spans="2:12" s="31" customFormat="1" x14ac:dyDescent="0.3">
      <c r="B63" s="56">
        <v>44122105</v>
      </c>
      <c r="C63" s="21" t="s">
        <v>88</v>
      </c>
      <c r="D63" s="49" t="s">
        <v>25</v>
      </c>
      <c r="E63" s="57">
        <v>45357</v>
      </c>
      <c r="F63" s="57">
        <v>45357</v>
      </c>
      <c r="G63" s="54">
        <v>339</v>
      </c>
      <c r="H63" s="54">
        <v>0</v>
      </c>
      <c r="I63" s="95">
        <f>+G63-H63</f>
        <v>339</v>
      </c>
      <c r="J63" s="58" t="s">
        <v>38</v>
      </c>
      <c r="K63" s="59">
        <v>43.66</v>
      </c>
      <c r="L63" s="88">
        <f t="shared" si="4"/>
        <v>14800.739999999998</v>
      </c>
    </row>
    <row r="64" spans="2:12" s="31" customFormat="1" ht="15.75" customHeight="1" x14ac:dyDescent="0.3">
      <c r="B64" s="50">
        <v>44103105</v>
      </c>
      <c r="C64" s="20" t="s">
        <v>340</v>
      </c>
      <c r="D64" s="49" t="s">
        <v>25</v>
      </c>
      <c r="E64" s="57">
        <v>45363</v>
      </c>
      <c r="F64" s="57">
        <v>45363</v>
      </c>
      <c r="G64" s="54">
        <v>21</v>
      </c>
      <c r="H64" s="54">
        <v>1</v>
      </c>
      <c r="I64" s="54">
        <v>20</v>
      </c>
      <c r="J64" s="58" t="s">
        <v>28</v>
      </c>
      <c r="K64" s="53">
        <v>3970.84</v>
      </c>
      <c r="L64" s="88">
        <f>I64*K64</f>
        <v>79416.800000000003</v>
      </c>
    </row>
    <row r="65" spans="2:12" s="31" customFormat="1" x14ac:dyDescent="0.3">
      <c r="B65" s="50">
        <v>44103105</v>
      </c>
      <c r="C65" s="20" t="s">
        <v>341</v>
      </c>
      <c r="D65" s="49" t="s">
        <v>25</v>
      </c>
      <c r="E65" s="57">
        <v>45363</v>
      </c>
      <c r="F65" s="57">
        <v>45363</v>
      </c>
      <c r="G65" s="54">
        <v>23</v>
      </c>
      <c r="H65" s="54">
        <v>1</v>
      </c>
      <c r="I65" s="54">
        <f>G65-H65</f>
        <v>22</v>
      </c>
      <c r="J65" s="58" t="s">
        <v>28</v>
      </c>
      <c r="K65" s="53">
        <v>4646.55</v>
      </c>
      <c r="L65" s="88">
        <f>I65*K65</f>
        <v>102224.1</v>
      </c>
    </row>
    <row r="66" spans="2:12" s="31" customFormat="1" x14ac:dyDescent="0.3">
      <c r="B66" s="50">
        <v>44103105</v>
      </c>
      <c r="C66" s="20" t="s">
        <v>342</v>
      </c>
      <c r="D66" s="49" t="s">
        <v>25</v>
      </c>
      <c r="E66" s="57">
        <v>45363</v>
      </c>
      <c r="F66" s="57">
        <v>45363</v>
      </c>
      <c r="G66" s="54">
        <v>21</v>
      </c>
      <c r="H66" s="54">
        <v>1</v>
      </c>
      <c r="I66" s="54">
        <f>G66-H66</f>
        <v>20</v>
      </c>
      <c r="J66" s="58" t="s">
        <v>28</v>
      </c>
      <c r="K66" s="53">
        <v>4646.55</v>
      </c>
      <c r="L66" s="88">
        <f>I66*K66</f>
        <v>92931</v>
      </c>
    </row>
    <row r="67" spans="2:12" s="31" customFormat="1" x14ac:dyDescent="0.3">
      <c r="B67" s="50">
        <v>44103105</v>
      </c>
      <c r="C67" s="20" t="s">
        <v>343</v>
      </c>
      <c r="D67" s="49" t="s">
        <v>25</v>
      </c>
      <c r="E67" s="57">
        <v>45363</v>
      </c>
      <c r="F67" s="57">
        <v>45363</v>
      </c>
      <c r="G67" s="54">
        <v>22</v>
      </c>
      <c r="H67" s="54">
        <v>1</v>
      </c>
      <c r="I67" s="95">
        <f>G67-H67</f>
        <v>21</v>
      </c>
      <c r="J67" s="58" t="s">
        <v>28</v>
      </c>
      <c r="K67" s="53">
        <v>4646.55</v>
      </c>
      <c r="L67" s="88">
        <f t="shared" ref="L67:L127" si="6">I67*K67</f>
        <v>97577.55</v>
      </c>
    </row>
    <row r="68" spans="2:12" s="31" customFormat="1" x14ac:dyDescent="0.3">
      <c r="B68" s="50">
        <v>44103103</v>
      </c>
      <c r="C68" s="21" t="s">
        <v>254</v>
      </c>
      <c r="D68" s="49" t="s">
        <v>25</v>
      </c>
      <c r="E68" s="57">
        <v>45363</v>
      </c>
      <c r="F68" s="57">
        <v>45363</v>
      </c>
      <c r="G68" s="54">
        <v>15</v>
      </c>
      <c r="H68" s="54">
        <v>0</v>
      </c>
      <c r="I68" s="54">
        <v>15</v>
      </c>
      <c r="J68" s="58" t="s">
        <v>28</v>
      </c>
      <c r="K68" s="59">
        <v>3170.12</v>
      </c>
      <c r="L68" s="88">
        <f>I68*K68</f>
        <v>47551.799999999996</v>
      </c>
    </row>
    <row r="69" spans="2:12" s="31" customFormat="1" x14ac:dyDescent="0.3">
      <c r="B69" s="50">
        <v>23</v>
      </c>
      <c r="C69" s="20" t="s">
        <v>137</v>
      </c>
      <c r="D69" s="20"/>
      <c r="E69" s="57">
        <v>45288</v>
      </c>
      <c r="F69" s="57">
        <v>45288</v>
      </c>
      <c r="G69" s="54">
        <v>10</v>
      </c>
      <c r="H69" s="54">
        <v>4</v>
      </c>
      <c r="I69" s="54">
        <v>6</v>
      </c>
      <c r="J69" s="20" t="s">
        <v>28</v>
      </c>
      <c r="K69" s="53">
        <v>5450</v>
      </c>
      <c r="L69" s="88">
        <f t="shared" si="6"/>
        <v>32700</v>
      </c>
    </row>
    <row r="70" spans="2:12" s="31" customFormat="1" x14ac:dyDescent="0.3">
      <c r="B70" s="56">
        <v>25111903</v>
      </c>
      <c r="C70" s="21" t="s">
        <v>24</v>
      </c>
      <c r="D70" s="49" t="s">
        <v>25</v>
      </c>
      <c r="E70" s="57">
        <v>45281</v>
      </c>
      <c r="F70" s="57">
        <v>45281</v>
      </c>
      <c r="G70" s="54">
        <v>265</v>
      </c>
      <c r="H70" s="54">
        <v>51</v>
      </c>
      <c r="I70" s="54">
        <v>214</v>
      </c>
      <c r="J70" s="58" t="s">
        <v>28</v>
      </c>
      <c r="K70" s="59">
        <v>125</v>
      </c>
      <c r="L70" s="88">
        <f t="shared" si="6"/>
        <v>26750</v>
      </c>
    </row>
    <row r="71" spans="2:12" s="31" customFormat="1" x14ac:dyDescent="0.3">
      <c r="B71" s="50">
        <v>16</v>
      </c>
      <c r="C71" s="20" t="s">
        <v>107</v>
      </c>
      <c r="D71" s="20"/>
      <c r="E71" s="57">
        <v>45281</v>
      </c>
      <c r="F71" s="57">
        <v>45281</v>
      </c>
      <c r="G71" s="54">
        <v>80</v>
      </c>
      <c r="H71" s="54">
        <v>0</v>
      </c>
      <c r="I71" s="54">
        <v>80</v>
      </c>
      <c r="J71" s="20" t="s">
        <v>23</v>
      </c>
      <c r="K71" s="53">
        <v>283.79000000000002</v>
      </c>
      <c r="L71" s="88">
        <f t="shared" si="6"/>
        <v>22703.200000000001</v>
      </c>
    </row>
    <row r="72" spans="2:12" s="31" customFormat="1" x14ac:dyDescent="0.3">
      <c r="B72" s="56">
        <v>47131803</v>
      </c>
      <c r="C72" s="21" t="s">
        <v>108</v>
      </c>
      <c r="D72" s="49" t="s">
        <v>25</v>
      </c>
      <c r="E72" s="57">
        <v>45281</v>
      </c>
      <c r="F72" s="57">
        <v>45281</v>
      </c>
      <c r="G72" s="54">
        <v>674</v>
      </c>
      <c r="H72" s="54">
        <v>37</v>
      </c>
      <c r="I72" s="95">
        <v>637</v>
      </c>
      <c r="J72" s="58" t="s">
        <v>23</v>
      </c>
      <c r="K72" s="59">
        <v>150</v>
      </c>
      <c r="L72" s="88">
        <f t="shared" si="6"/>
        <v>95550</v>
      </c>
    </row>
    <row r="73" spans="2:12" s="31" customFormat="1" x14ac:dyDescent="0.3">
      <c r="B73" s="56">
        <v>47131604</v>
      </c>
      <c r="C73" s="21" t="s">
        <v>115</v>
      </c>
      <c r="D73" s="49" t="s">
        <v>25</v>
      </c>
      <c r="E73" s="57">
        <v>45281</v>
      </c>
      <c r="F73" s="57">
        <v>45281</v>
      </c>
      <c r="G73" s="54">
        <v>114</v>
      </c>
      <c r="H73" s="54">
        <v>2</v>
      </c>
      <c r="I73" s="54">
        <v>112</v>
      </c>
      <c r="J73" s="58" t="s">
        <v>28</v>
      </c>
      <c r="K73" s="59">
        <v>95</v>
      </c>
      <c r="L73" s="88">
        <f t="shared" si="6"/>
        <v>10640</v>
      </c>
    </row>
    <row r="74" spans="2:12" s="31" customFormat="1" x14ac:dyDescent="0.3">
      <c r="B74" s="50">
        <v>17</v>
      </c>
      <c r="C74" s="20" t="s">
        <v>121</v>
      </c>
      <c r="D74" s="20"/>
      <c r="E74" s="57">
        <v>45281</v>
      </c>
      <c r="F74" s="57">
        <v>45281</v>
      </c>
      <c r="G74" s="54">
        <v>47</v>
      </c>
      <c r="H74" s="54">
        <v>0</v>
      </c>
      <c r="I74" s="54">
        <v>47</v>
      </c>
      <c r="J74" s="20" t="s">
        <v>28</v>
      </c>
      <c r="K74" s="53">
        <v>964.82</v>
      </c>
      <c r="L74" s="88">
        <f t="shared" si="6"/>
        <v>45346.54</v>
      </c>
    </row>
    <row r="75" spans="2:12" s="31" customFormat="1" x14ac:dyDescent="0.3">
      <c r="B75" s="50">
        <v>18</v>
      </c>
      <c r="C75" s="20" t="s">
        <v>122</v>
      </c>
      <c r="D75" s="20"/>
      <c r="E75" s="57">
        <v>45281</v>
      </c>
      <c r="F75" s="57">
        <v>45281</v>
      </c>
      <c r="G75" s="54">
        <v>668</v>
      </c>
      <c r="H75" s="54">
        <v>25</v>
      </c>
      <c r="I75" s="95">
        <v>643</v>
      </c>
      <c r="J75" s="20" t="s">
        <v>28</v>
      </c>
      <c r="K75" s="53">
        <v>16.87</v>
      </c>
      <c r="L75" s="88">
        <f t="shared" si="6"/>
        <v>10847.41</v>
      </c>
    </row>
    <row r="76" spans="2:12" s="31" customFormat="1" x14ac:dyDescent="0.3">
      <c r="B76" s="63">
        <v>47121708</v>
      </c>
      <c r="C76" s="21" t="s">
        <v>129</v>
      </c>
      <c r="D76" s="49" t="s">
        <v>25</v>
      </c>
      <c r="E76" s="57">
        <v>45281</v>
      </c>
      <c r="F76" s="57">
        <v>45281</v>
      </c>
      <c r="G76" s="54">
        <v>86</v>
      </c>
      <c r="H76" s="54">
        <v>16</v>
      </c>
      <c r="I76" s="54">
        <v>70</v>
      </c>
      <c r="J76" s="58" t="s">
        <v>130</v>
      </c>
      <c r="K76" s="59">
        <v>265</v>
      </c>
      <c r="L76" s="88">
        <f t="shared" si="6"/>
        <v>18550</v>
      </c>
    </row>
    <row r="77" spans="2:12" s="101" customFormat="1" x14ac:dyDescent="0.3">
      <c r="B77" s="98">
        <v>47121701</v>
      </c>
      <c r="C77" s="99" t="s">
        <v>131</v>
      </c>
      <c r="D77" s="97" t="s">
        <v>25</v>
      </c>
      <c r="E77" s="100">
        <v>45281</v>
      </c>
      <c r="F77" s="100">
        <v>45281</v>
      </c>
      <c r="G77" s="95">
        <v>31</v>
      </c>
      <c r="H77" s="95">
        <v>13</v>
      </c>
      <c r="I77" s="95">
        <v>18</v>
      </c>
      <c r="J77" s="96" t="s">
        <v>130</v>
      </c>
      <c r="K77" s="89">
        <v>870</v>
      </c>
      <c r="L77" s="88">
        <f>I77*K77</f>
        <v>15660</v>
      </c>
    </row>
    <row r="78" spans="2:12" s="31" customFormat="1" x14ac:dyDescent="0.3">
      <c r="B78" s="50">
        <v>25</v>
      </c>
      <c r="C78" s="20" t="s">
        <v>144</v>
      </c>
      <c r="D78" s="20"/>
      <c r="E78" s="57">
        <v>45281</v>
      </c>
      <c r="F78" s="57">
        <v>45281</v>
      </c>
      <c r="G78" s="54">
        <v>163</v>
      </c>
      <c r="H78" s="54">
        <v>23</v>
      </c>
      <c r="I78" s="54">
        <v>140</v>
      </c>
      <c r="J78" s="58" t="s">
        <v>28</v>
      </c>
      <c r="K78" s="53">
        <v>115.07</v>
      </c>
      <c r="L78" s="88">
        <f t="shared" si="6"/>
        <v>16109.8</v>
      </c>
    </row>
    <row r="79" spans="2:12" s="31" customFormat="1" x14ac:dyDescent="0.3">
      <c r="B79" s="56">
        <v>47131810</v>
      </c>
      <c r="C79" s="21" t="s">
        <v>145</v>
      </c>
      <c r="D79" s="49" t="s">
        <v>25</v>
      </c>
      <c r="E79" s="57">
        <v>45281</v>
      </c>
      <c r="F79" s="57">
        <v>45281</v>
      </c>
      <c r="G79" s="54">
        <v>411</v>
      </c>
      <c r="H79" s="54">
        <v>14</v>
      </c>
      <c r="I79" s="95">
        <v>397</v>
      </c>
      <c r="J79" s="58" t="s">
        <v>93</v>
      </c>
      <c r="K79" s="59">
        <v>107</v>
      </c>
      <c r="L79" s="88">
        <f t="shared" si="6"/>
        <v>42479</v>
      </c>
    </row>
    <row r="80" spans="2:12" s="31" customFormat="1" x14ac:dyDescent="0.3">
      <c r="B80" s="56">
        <v>47131810</v>
      </c>
      <c r="C80" s="21" t="s">
        <v>146</v>
      </c>
      <c r="D80" s="49" t="s">
        <v>25</v>
      </c>
      <c r="E80" s="57">
        <v>45281</v>
      </c>
      <c r="F80" s="57">
        <v>45281</v>
      </c>
      <c r="G80" s="54">
        <v>443</v>
      </c>
      <c r="H80" s="54">
        <v>35</v>
      </c>
      <c r="I80" s="54">
        <v>408</v>
      </c>
      <c r="J80" s="58" t="s">
        <v>93</v>
      </c>
      <c r="K80" s="59">
        <v>140</v>
      </c>
      <c r="L80" s="88">
        <f t="shared" si="6"/>
        <v>57120</v>
      </c>
    </row>
    <row r="81" spans="2:12" s="31" customFormat="1" x14ac:dyDescent="0.3">
      <c r="B81" s="50">
        <v>33</v>
      </c>
      <c r="C81" s="20" t="s">
        <v>167</v>
      </c>
      <c r="D81" s="20"/>
      <c r="E81" s="57">
        <v>45281</v>
      </c>
      <c r="F81" s="57">
        <v>45281</v>
      </c>
      <c r="G81" s="54">
        <v>60</v>
      </c>
      <c r="H81" s="54">
        <v>0</v>
      </c>
      <c r="I81" s="54">
        <v>60</v>
      </c>
      <c r="J81" s="20" t="s">
        <v>28</v>
      </c>
      <c r="K81" s="88">
        <v>500</v>
      </c>
      <c r="L81" s="88">
        <f t="shared" si="6"/>
        <v>30000</v>
      </c>
    </row>
    <row r="82" spans="2:12" s="31" customFormat="1" x14ac:dyDescent="0.3">
      <c r="B82" s="50">
        <v>38</v>
      </c>
      <c r="C82" s="20" t="s">
        <v>182</v>
      </c>
      <c r="D82" s="20"/>
      <c r="E82" s="57">
        <v>45281</v>
      </c>
      <c r="F82" s="57">
        <v>45281</v>
      </c>
      <c r="G82" s="54">
        <v>108</v>
      </c>
      <c r="H82" s="54">
        <v>8</v>
      </c>
      <c r="I82" s="54">
        <v>100</v>
      </c>
      <c r="J82" s="20" t="s">
        <v>183</v>
      </c>
      <c r="K82" s="53">
        <v>29</v>
      </c>
      <c r="L82" s="88">
        <f t="shared" si="6"/>
        <v>2900</v>
      </c>
    </row>
    <row r="83" spans="2:12" s="31" customFormat="1" x14ac:dyDescent="0.3">
      <c r="B83" s="50">
        <v>50</v>
      </c>
      <c r="C83" s="20" t="s">
        <v>203</v>
      </c>
      <c r="D83" s="20"/>
      <c r="E83" s="57">
        <v>45281</v>
      </c>
      <c r="F83" s="57">
        <v>45281</v>
      </c>
      <c r="G83" s="54">
        <v>69</v>
      </c>
      <c r="H83" s="54">
        <v>0</v>
      </c>
      <c r="I83" s="95">
        <v>69</v>
      </c>
      <c r="J83" s="58" t="s">
        <v>28</v>
      </c>
      <c r="K83" s="53">
        <v>99.12</v>
      </c>
      <c r="L83" s="88">
        <f t="shared" si="6"/>
        <v>6839.2800000000007</v>
      </c>
    </row>
    <row r="84" spans="2:12" s="31" customFormat="1" x14ac:dyDescent="0.3">
      <c r="B84" s="56">
        <v>47131618</v>
      </c>
      <c r="C84" s="21" t="s">
        <v>222</v>
      </c>
      <c r="D84" s="49" t="s">
        <v>25</v>
      </c>
      <c r="E84" s="57">
        <v>45281</v>
      </c>
      <c r="F84" s="57">
        <v>45281</v>
      </c>
      <c r="G84" s="54">
        <v>209</v>
      </c>
      <c r="H84" s="54">
        <v>8</v>
      </c>
      <c r="I84" s="54">
        <v>201</v>
      </c>
      <c r="J84" s="58" t="s">
        <v>28</v>
      </c>
      <c r="K84" s="59">
        <v>175</v>
      </c>
      <c r="L84" s="88">
        <f t="shared" si="6"/>
        <v>35175</v>
      </c>
    </row>
    <row r="85" spans="2:12" s="31" customFormat="1" x14ac:dyDescent="0.3">
      <c r="B85" s="50">
        <v>55</v>
      </c>
      <c r="C85" s="20" t="s">
        <v>230</v>
      </c>
      <c r="D85" s="20"/>
      <c r="E85" s="57">
        <v>45281</v>
      </c>
      <c r="F85" s="57">
        <v>45281</v>
      </c>
      <c r="G85" s="54">
        <v>28</v>
      </c>
      <c r="H85" s="54">
        <v>12</v>
      </c>
      <c r="I85" s="54">
        <v>16</v>
      </c>
      <c r="J85" s="20" t="s">
        <v>231</v>
      </c>
      <c r="K85" s="53">
        <v>43.11</v>
      </c>
      <c r="L85" s="88">
        <f t="shared" si="6"/>
        <v>689.76</v>
      </c>
    </row>
    <row r="86" spans="2:12" s="31" customFormat="1" x14ac:dyDescent="0.3">
      <c r="B86" s="50">
        <v>56</v>
      </c>
      <c r="C86" s="20" t="s">
        <v>277</v>
      </c>
      <c r="D86" s="49" t="s">
        <v>25</v>
      </c>
      <c r="E86" s="57">
        <v>45281</v>
      </c>
      <c r="F86" s="57">
        <v>45281</v>
      </c>
      <c r="G86" s="54">
        <v>40</v>
      </c>
      <c r="H86" s="54">
        <v>0</v>
      </c>
      <c r="I86" s="54">
        <v>40</v>
      </c>
      <c r="J86" s="58" t="s">
        <v>28</v>
      </c>
      <c r="K86" s="53">
        <v>4124</v>
      </c>
      <c r="L86" s="88">
        <f t="shared" si="6"/>
        <v>164960</v>
      </c>
    </row>
    <row r="87" spans="2:12" s="31" customFormat="1" x14ac:dyDescent="0.3">
      <c r="B87" s="50">
        <v>57</v>
      </c>
      <c r="C87" s="20" t="s">
        <v>279</v>
      </c>
      <c r="D87" s="49" t="s">
        <v>25</v>
      </c>
      <c r="E87" s="57">
        <v>45281</v>
      </c>
      <c r="F87" s="57">
        <v>45281</v>
      </c>
      <c r="G87" s="54">
        <v>28</v>
      </c>
      <c r="H87" s="54">
        <v>0</v>
      </c>
      <c r="I87" s="95">
        <v>28</v>
      </c>
      <c r="J87" s="58" t="s">
        <v>28</v>
      </c>
      <c r="K87" s="53">
        <v>5605</v>
      </c>
      <c r="L87" s="88">
        <f t="shared" si="6"/>
        <v>156940</v>
      </c>
    </row>
    <row r="88" spans="2:12" s="31" customFormat="1" x14ac:dyDescent="0.3">
      <c r="B88" s="50">
        <v>57</v>
      </c>
      <c r="C88" s="20" t="s">
        <v>344</v>
      </c>
      <c r="D88" s="49" t="s">
        <v>25</v>
      </c>
      <c r="E88" s="57">
        <v>45281</v>
      </c>
      <c r="F88" s="57">
        <v>45281</v>
      </c>
      <c r="G88" s="54">
        <v>42</v>
      </c>
      <c r="H88" s="54">
        <v>3</v>
      </c>
      <c r="I88" s="54">
        <v>39</v>
      </c>
      <c r="J88" s="58" t="s">
        <v>23</v>
      </c>
      <c r="K88" s="53">
        <v>100</v>
      </c>
      <c r="L88" s="88">
        <f t="shared" si="6"/>
        <v>3900</v>
      </c>
    </row>
    <row r="89" spans="2:12" s="31" customFormat="1" x14ac:dyDescent="0.3">
      <c r="B89" s="50">
        <v>57</v>
      </c>
      <c r="C89" s="20" t="s">
        <v>345</v>
      </c>
      <c r="D89" s="49"/>
      <c r="E89" s="57">
        <v>45281</v>
      </c>
      <c r="F89" s="57">
        <v>45281</v>
      </c>
      <c r="G89" s="54">
        <v>53</v>
      </c>
      <c r="H89" s="54">
        <v>4</v>
      </c>
      <c r="I89" s="54">
        <v>49</v>
      </c>
      <c r="J89" s="58" t="s">
        <v>346</v>
      </c>
      <c r="K89" s="53">
        <v>440</v>
      </c>
      <c r="L89" s="88">
        <f t="shared" si="6"/>
        <v>21560</v>
      </c>
    </row>
    <row r="90" spans="2:12" s="31" customFormat="1" x14ac:dyDescent="0.3">
      <c r="B90" s="50">
        <v>44103103</v>
      </c>
      <c r="C90" s="21" t="s">
        <v>275</v>
      </c>
      <c r="D90" s="49" t="s">
        <v>25</v>
      </c>
      <c r="E90" s="57">
        <v>45278</v>
      </c>
      <c r="F90" s="57">
        <v>45278</v>
      </c>
      <c r="G90" s="54">
        <v>168</v>
      </c>
      <c r="H90" s="54">
        <v>26</v>
      </c>
      <c r="I90" s="54">
        <v>142</v>
      </c>
      <c r="J90" s="58" t="s">
        <v>33</v>
      </c>
      <c r="K90" s="59">
        <v>163.33000000000001</v>
      </c>
      <c r="L90" s="88">
        <f t="shared" si="6"/>
        <v>23192.86</v>
      </c>
    </row>
    <row r="91" spans="2:12" s="31" customFormat="1" x14ac:dyDescent="0.3">
      <c r="B91" s="50">
        <v>44103103</v>
      </c>
      <c r="C91" s="21" t="s">
        <v>276</v>
      </c>
      <c r="D91" s="49" t="s">
        <v>25</v>
      </c>
      <c r="E91" s="57">
        <v>45278</v>
      </c>
      <c r="F91" s="57">
        <v>45278</v>
      </c>
      <c r="G91" s="54">
        <v>367</v>
      </c>
      <c r="H91" s="54">
        <v>36</v>
      </c>
      <c r="I91" s="95">
        <v>331</v>
      </c>
      <c r="J91" s="58" t="s">
        <v>33</v>
      </c>
      <c r="K91" s="59">
        <v>383.33</v>
      </c>
      <c r="L91" s="88">
        <f t="shared" si="6"/>
        <v>126882.23</v>
      </c>
    </row>
    <row r="92" spans="2:12" s="31" customFormat="1" x14ac:dyDescent="0.3">
      <c r="B92" s="50">
        <v>44103103</v>
      </c>
      <c r="C92" s="21" t="s">
        <v>241</v>
      </c>
      <c r="D92" s="49" t="s">
        <v>25</v>
      </c>
      <c r="E92" s="57">
        <v>45194</v>
      </c>
      <c r="F92" s="57">
        <v>45194</v>
      </c>
      <c r="G92" s="54">
        <v>18</v>
      </c>
      <c r="H92" s="54">
        <v>0</v>
      </c>
      <c r="I92" s="54">
        <v>18</v>
      </c>
      <c r="J92" s="58" t="s">
        <v>28</v>
      </c>
      <c r="K92" s="59">
        <v>9607.56</v>
      </c>
      <c r="L92" s="88">
        <f t="shared" si="6"/>
        <v>172936.08</v>
      </c>
    </row>
    <row r="93" spans="2:12" s="31" customFormat="1" x14ac:dyDescent="0.3">
      <c r="B93" s="50">
        <v>44103103</v>
      </c>
      <c r="C93" s="21" t="s">
        <v>242</v>
      </c>
      <c r="D93" s="49" t="s">
        <v>25</v>
      </c>
      <c r="E93" s="57">
        <v>45194</v>
      </c>
      <c r="F93" s="57">
        <v>45194</v>
      </c>
      <c r="G93" s="54">
        <v>16</v>
      </c>
      <c r="H93" s="54">
        <v>0</v>
      </c>
      <c r="I93" s="54">
        <v>16</v>
      </c>
      <c r="J93" s="58" t="s">
        <v>28</v>
      </c>
      <c r="K93" s="59">
        <v>8155.56</v>
      </c>
      <c r="L93" s="88">
        <f t="shared" si="6"/>
        <v>130488.96000000001</v>
      </c>
    </row>
    <row r="94" spans="2:12" s="31" customFormat="1" x14ac:dyDescent="0.3">
      <c r="B94" s="50">
        <v>44103103</v>
      </c>
      <c r="C94" s="21" t="s">
        <v>243</v>
      </c>
      <c r="D94" s="49" t="s">
        <v>25</v>
      </c>
      <c r="E94" s="57">
        <v>45194</v>
      </c>
      <c r="F94" s="57">
        <v>45194</v>
      </c>
      <c r="G94" s="54">
        <v>17</v>
      </c>
      <c r="H94" s="54">
        <v>0</v>
      </c>
      <c r="I94" s="95">
        <v>17</v>
      </c>
      <c r="J94" s="58" t="s">
        <v>28</v>
      </c>
      <c r="K94" s="59">
        <v>8155.56</v>
      </c>
      <c r="L94" s="88">
        <f t="shared" si="6"/>
        <v>138644.52000000002</v>
      </c>
    </row>
    <row r="95" spans="2:12" s="31" customFormat="1" x14ac:dyDescent="0.3">
      <c r="B95" s="50">
        <v>2</v>
      </c>
      <c r="C95" s="20" t="s">
        <v>20</v>
      </c>
      <c r="D95" s="20"/>
      <c r="E95" s="57">
        <v>45149</v>
      </c>
      <c r="F95" s="57">
        <v>45149</v>
      </c>
      <c r="G95" s="54">
        <v>149</v>
      </c>
      <c r="H95" s="54">
        <v>0</v>
      </c>
      <c r="I95" s="54">
        <v>149</v>
      </c>
      <c r="J95" s="20" t="s">
        <v>21</v>
      </c>
      <c r="K95" s="53">
        <v>215</v>
      </c>
      <c r="L95" s="88">
        <f t="shared" si="6"/>
        <v>32035</v>
      </c>
    </row>
    <row r="96" spans="2:12" s="31" customFormat="1" x14ac:dyDescent="0.3">
      <c r="B96" s="50">
        <v>3</v>
      </c>
      <c r="C96" s="20" t="s">
        <v>22</v>
      </c>
      <c r="D96" s="20"/>
      <c r="E96" s="57">
        <v>45149</v>
      </c>
      <c r="F96" s="57">
        <v>45149</v>
      </c>
      <c r="G96" s="54">
        <v>3</v>
      </c>
      <c r="H96" s="54">
        <f>+'Matriz E-S'!W114</f>
        <v>0</v>
      </c>
      <c r="I96" s="54">
        <v>3</v>
      </c>
      <c r="J96" s="20" t="s">
        <v>23</v>
      </c>
      <c r="K96" s="53">
        <v>595</v>
      </c>
      <c r="L96" s="88">
        <f t="shared" si="6"/>
        <v>1785</v>
      </c>
    </row>
    <row r="97" spans="2:12" s="31" customFormat="1" x14ac:dyDescent="0.3">
      <c r="B97" s="50">
        <v>4</v>
      </c>
      <c r="C97" s="20" t="s">
        <v>34</v>
      </c>
      <c r="D97" s="20"/>
      <c r="E97" s="57">
        <v>45149</v>
      </c>
      <c r="F97" s="57">
        <v>45149</v>
      </c>
      <c r="G97" s="54">
        <v>1</v>
      </c>
      <c r="H97" s="54">
        <v>0</v>
      </c>
      <c r="I97" s="54">
        <v>1</v>
      </c>
      <c r="J97" s="20" t="s">
        <v>28</v>
      </c>
      <c r="K97" s="20">
        <v>220.99</v>
      </c>
      <c r="L97" s="88">
        <f t="shared" si="6"/>
        <v>220.99</v>
      </c>
    </row>
    <row r="98" spans="2:12" s="31" customFormat="1" x14ac:dyDescent="0.3">
      <c r="B98" s="50">
        <v>6</v>
      </c>
      <c r="C98" s="20" t="s">
        <v>57</v>
      </c>
      <c r="D98" s="20"/>
      <c r="E98" s="57">
        <v>45149</v>
      </c>
      <c r="F98" s="57">
        <v>45149</v>
      </c>
      <c r="G98" s="54">
        <v>26</v>
      </c>
      <c r="H98" s="54">
        <v>7</v>
      </c>
      <c r="I98" s="54">
        <v>19</v>
      </c>
      <c r="J98" s="20" t="s">
        <v>28</v>
      </c>
      <c r="K98" s="53">
        <v>120</v>
      </c>
      <c r="L98" s="88">
        <f t="shared" si="6"/>
        <v>2280</v>
      </c>
    </row>
    <row r="99" spans="2:12" s="31" customFormat="1" x14ac:dyDescent="0.3">
      <c r="B99" s="50">
        <v>7</v>
      </c>
      <c r="C99" s="20" t="s">
        <v>58</v>
      </c>
      <c r="D99" s="20"/>
      <c r="E99" s="57">
        <v>45149</v>
      </c>
      <c r="F99" s="57">
        <v>45149</v>
      </c>
      <c r="G99" s="54">
        <v>6</v>
      </c>
      <c r="H99" s="54">
        <v>0</v>
      </c>
      <c r="I99" s="54">
        <v>6</v>
      </c>
      <c r="J99" s="20" t="s">
        <v>28</v>
      </c>
      <c r="K99" s="53">
        <v>133.61000000000001</v>
      </c>
      <c r="L99" s="88">
        <f t="shared" si="6"/>
        <v>801.66000000000008</v>
      </c>
    </row>
    <row r="100" spans="2:12" s="31" customFormat="1" x14ac:dyDescent="0.3">
      <c r="B100" s="50">
        <v>8</v>
      </c>
      <c r="C100" s="20" t="s">
        <v>71</v>
      </c>
      <c r="D100" s="20"/>
      <c r="E100" s="57">
        <v>45149</v>
      </c>
      <c r="F100" s="57">
        <v>45149</v>
      </c>
      <c r="G100" s="54">
        <v>70</v>
      </c>
      <c r="H100" s="54"/>
      <c r="I100" s="54">
        <v>70</v>
      </c>
      <c r="J100" s="20" t="s">
        <v>28</v>
      </c>
      <c r="K100" s="53">
        <v>75</v>
      </c>
      <c r="L100" s="88">
        <f t="shared" si="6"/>
        <v>5250</v>
      </c>
    </row>
    <row r="101" spans="2:12" s="31" customFormat="1" x14ac:dyDescent="0.3">
      <c r="B101" s="50">
        <v>9</v>
      </c>
      <c r="C101" s="20" t="s">
        <v>79</v>
      </c>
      <c r="D101" s="20"/>
      <c r="E101" s="57">
        <v>45149</v>
      </c>
      <c r="F101" s="57">
        <v>45149</v>
      </c>
      <c r="G101" s="54">
        <v>83</v>
      </c>
      <c r="H101" s="54">
        <v>0</v>
      </c>
      <c r="I101" s="95">
        <v>83</v>
      </c>
      <c r="J101" s="20" t="s">
        <v>21</v>
      </c>
      <c r="K101" s="53">
        <v>130</v>
      </c>
      <c r="L101" s="88">
        <f t="shared" si="6"/>
        <v>10790</v>
      </c>
    </row>
    <row r="102" spans="2:12" s="31" customFormat="1" x14ac:dyDescent="0.3">
      <c r="B102" s="50">
        <v>10</v>
      </c>
      <c r="C102" s="20" t="s">
        <v>94</v>
      </c>
      <c r="D102" s="20"/>
      <c r="E102" s="57">
        <v>45149</v>
      </c>
      <c r="F102" s="57">
        <v>45149</v>
      </c>
      <c r="G102" s="54">
        <v>113</v>
      </c>
      <c r="H102" s="54">
        <v>0</v>
      </c>
      <c r="I102" s="54">
        <v>113</v>
      </c>
      <c r="J102" s="20" t="s">
        <v>28</v>
      </c>
      <c r="K102" s="20">
        <v>121.49</v>
      </c>
      <c r="L102" s="88">
        <f t="shared" si="6"/>
        <v>13728.369999999999</v>
      </c>
    </row>
    <row r="103" spans="2:12" s="31" customFormat="1" x14ac:dyDescent="0.3">
      <c r="B103" s="50">
        <v>11</v>
      </c>
      <c r="C103" s="20" t="s">
        <v>95</v>
      </c>
      <c r="D103" s="20"/>
      <c r="E103" s="57">
        <v>45149</v>
      </c>
      <c r="F103" s="57">
        <v>45149</v>
      </c>
      <c r="G103" s="54">
        <v>120</v>
      </c>
      <c r="H103" s="54">
        <v>0</v>
      </c>
      <c r="I103" s="54">
        <v>120</v>
      </c>
      <c r="J103" s="20" t="s">
        <v>28</v>
      </c>
      <c r="K103" s="20">
        <v>77.989999999999995</v>
      </c>
      <c r="L103" s="88">
        <f t="shared" si="6"/>
        <v>9358.7999999999993</v>
      </c>
    </row>
    <row r="104" spans="2:12" s="31" customFormat="1" x14ac:dyDescent="0.3">
      <c r="B104" s="50">
        <v>12</v>
      </c>
      <c r="C104" s="20" t="s">
        <v>103</v>
      </c>
      <c r="D104" s="20"/>
      <c r="E104" s="57">
        <v>45149</v>
      </c>
      <c r="F104" s="57">
        <v>45149</v>
      </c>
      <c r="G104" s="54">
        <v>17</v>
      </c>
      <c r="H104" s="54">
        <v>0</v>
      </c>
      <c r="I104" s="54">
        <v>17</v>
      </c>
      <c r="J104" s="20" t="s">
        <v>28</v>
      </c>
      <c r="K104" s="20">
        <v>53.99</v>
      </c>
      <c r="L104" s="88">
        <f t="shared" si="6"/>
        <v>917.83</v>
      </c>
    </row>
    <row r="105" spans="2:12" s="31" customFormat="1" x14ac:dyDescent="0.3">
      <c r="B105" s="50">
        <v>13</v>
      </c>
      <c r="C105" s="20" t="s">
        <v>104</v>
      </c>
      <c r="D105" s="20"/>
      <c r="E105" s="57">
        <v>45149</v>
      </c>
      <c r="F105" s="57">
        <v>45149</v>
      </c>
      <c r="G105" s="54">
        <v>27</v>
      </c>
      <c r="H105" s="54">
        <v>12</v>
      </c>
      <c r="I105" s="54">
        <v>15</v>
      </c>
      <c r="J105" s="20" t="s">
        <v>28</v>
      </c>
      <c r="K105" s="20">
        <v>43.49</v>
      </c>
      <c r="L105" s="88">
        <f t="shared" si="6"/>
        <v>652.35</v>
      </c>
    </row>
    <row r="106" spans="2:12" s="31" customFormat="1" x14ac:dyDescent="0.3">
      <c r="B106" s="50">
        <v>14</v>
      </c>
      <c r="C106" s="20" t="s">
        <v>105</v>
      </c>
      <c r="D106" s="20"/>
      <c r="E106" s="57">
        <v>45149</v>
      </c>
      <c r="F106" s="57">
        <v>45149</v>
      </c>
      <c r="G106" s="54">
        <v>45</v>
      </c>
      <c r="H106" s="54">
        <v>0</v>
      </c>
      <c r="I106" s="54">
        <v>45</v>
      </c>
      <c r="J106" s="20" t="s">
        <v>28</v>
      </c>
      <c r="K106" s="20">
        <v>67.489999999999995</v>
      </c>
      <c r="L106" s="88">
        <f t="shared" si="6"/>
        <v>3037.0499999999997</v>
      </c>
    </row>
    <row r="107" spans="2:12" s="31" customFormat="1" x14ac:dyDescent="0.3">
      <c r="B107" s="50">
        <v>15</v>
      </c>
      <c r="C107" s="20" t="s">
        <v>106</v>
      </c>
      <c r="D107" s="20"/>
      <c r="E107" s="57">
        <v>45149</v>
      </c>
      <c r="F107" s="57">
        <v>45149</v>
      </c>
      <c r="G107" s="54">
        <v>6</v>
      </c>
      <c r="H107" s="54">
        <v>0</v>
      </c>
      <c r="I107" s="54">
        <v>6</v>
      </c>
      <c r="J107" s="20" t="s">
        <v>28</v>
      </c>
      <c r="K107" s="20">
        <v>207.99</v>
      </c>
      <c r="L107" s="88">
        <f t="shared" si="6"/>
        <v>1247.94</v>
      </c>
    </row>
    <row r="108" spans="2:12" s="31" customFormat="1" x14ac:dyDescent="0.3">
      <c r="B108" s="50">
        <v>19</v>
      </c>
      <c r="C108" s="20" t="s">
        <v>133</v>
      </c>
      <c r="D108" s="20"/>
      <c r="E108" s="57">
        <v>45149</v>
      </c>
      <c r="F108" s="57">
        <v>45149</v>
      </c>
      <c r="G108" s="54">
        <v>3</v>
      </c>
      <c r="H108" s="54">
        <v>0</v>
      </c>
      <c r="I108" s="54">
        <v>3</v>
      </c>
      <c r="J108" s="20" t="s">
        <v>23</v>
      </c>
      <c r="K108" s="53">
        <v>501</v>
      </c>
      <c r="L108" s="88">
        <f t="shared" si="6"/>
        <v>1503</v>
      </c>
    </row>
    <row r="109" spans="2:12" s="31" customFormat="1" x14ac:dyDescent="0.3">
      <c r="B109" s="50">
        <v>20</v>
      </c>
      <c r="C109" s="20" t="s">
        <v>134</v>
      </c>
      <c r="D109" s="20"/>
      <c r="E109" s="57">
        <v>45149</v>
      </c>
      <c r="F109" s="57">
        <v>45149</v>
      </c>
      <c r="G109" s="54">
        <v>1</v>
      </c>
      <c r="H109" s="54">
        <v>0</v>
      </c>
      <c r="I109" s="54">
        <v>1</v>
      </c>
      <c r="J109" s="20" t="s">
        <v>28</v>
      </c>
      <c r="K109" s="53">
        <v>7876.74</v>
      </c>
      <c r="L109" s="88">
        <f t="shared" si="6"/>
        <v>7876.74</v>
      </c>
    </row>
    <row r="110" spans="2:12" s="31" customFormat="1" x14ac:dyDescent="0.3">
      <c r="B110" s="50">
        <v>21</v>
      </c>
      <c r="C110" s="20" t="s">
        <v>135</v>
      </c>
      <c r="D110" s="20"/>
      <c r="E110" s="57">
        <v>45149</v>
      </c>
      <c r="F110" s="57">
        <v>45149</v>
      </c>
      <c r="G110" s="54">
        <v>5</v>
      </c>
      <c r="H110" s="54">
        <v>0</v>
      </c>
      <c r="I110" s="95">
        <v>5</v>
      </c>
      <c r="J110" s="20" t="s">
        <v>28</v>
      </c>
      <c r="K110" s="53">
        <v>9125</v>
      </c>
      <c r="L110" s="53">
        <f t="shared" si="6"/>
        <v>45625</v>
      </c>
    </row>
    <row r="111" spans="2:12" s="31" customFormat="1" x14ac:dyDescent="0.3">
      <c r="B111" s="50">
        <v>22</v>
      </c>
      <c r="C111" s="20" t="s">
        <v>136</v>
      </c>
      <c r="D111" s="20"/>
      <c r="E111" s="57">
        <v>45149</v>
      </c>
      <c r="F111" s="57">
        <v>45149</v>
      </c>
      <c r="G111" s="54">
        <v>10</v>
      </c>
      <c r="H111" s="54">
        <v>4</v>
      </c>
      <c r="I111" s="54">
        <v>6</v>
      </c>
      <c r="J111" s="20" t="s">
        <v>28</v>
      </c>
      <c r="K111" s="53">
        <v>6100</v>
      </c>
      <c r="L111" s="53">
        <f t="shared" si="6"/>
        <v>36600</v>
      </c>
    </row>
    <row r="112" spans="2:12" s="31" customFormat="1" x14ac:dyDescent="0.3">
      <c r="B112" s="50">
        <v>24</v>
      </c>
      <c r="C112" s="20" t="s">
        <v>141</v>
      </c>
      <c r="D112" s="20"/>
      <c r="E112" s="57">
        <v>45149</v>
      </c>
      <c r="F112" s="57">
        <v>45149</v>
      </c>
      <c r="G112" s="54">
        <v>3</v>
      </c>
      <c r="H112" s="54"/>
      <c r="I112" s="54">
        <v>3</v>
      </c>
      <c r="J112" s="20" t="s">
        <v>38</v>
      </c>
      <c r="K112" s="53">
        <v>84</v>
      </c>
      <c r="L112" s="53">
        <f t="shared" si="6"/>
        <v>252</v>
      </c>
    </row>
    <row r="113" spans="2:12" s="31" customFormat="1" x14ac:dyDescent="0.3">
      <c r="B113" s="50">
        <v>27</v>
      </c>
      <c r="C113" s="20" t="s">
        <v>153</v>
      </c>
      <c r="D113" s="20"/>
      <c r="E113" s="57">
        <v>45149</v>
      </c>
      <c r="F113" s="57">
        <v>45149</v>
      </c>
      <c r="G113" s="54">
        <v>14</v>
      </c>
      <c r="H113" s="54">
        <v>0</v>
      </c>
      <c r="I113" s="54">
        <v>14</v>
      </c>
      <c r="J113" s="20" t="s">
        <v>28</v>
      </c>
      <c r="K113" s="53">
        <v>60.18</v>
      </c>
      <c r="L113" s="53">
        <f t="shared" si="6"/>
        <v>842.52</v>
      </c>
    </row>
    <row r="114" spans="2:12" s="31" customFormat="1" x14ac:dyDescent="0.3">
      <c r="B114" s="50">
        <v>28</v>
      </c>
      <c r="C114" s="20" t="s">
        <v>154</v>
      </c>
      <c r="D114" s="20"/>
      <c r="E114" s="57">
        <v>45149</v>
      </c>
      <c r="F114" s="57">
        <v>45149</v>
      </c>
      <c r="G114" s="54">
        <v>133</v>
      </c>
      <c r="H114" s="54">
        <v>125</v>
      </c>
      <c r="I114" s="95">
        <v>8</v>
      </c>
      <c r="J114" s="20" t="s">
        <v>28</v>
      </c>
      <c r="K114" s="53">
        <v>48.38</v>
      </c>
      <c r="L114" s="53">
        <f t="shared" si="6"/>
        <v>387.04</v>
      </c>
    </row>
    <row r="115" spans="2:12" s="31" customFormat="1" x14ac:dyDescent="0.3">
      <c r="B115" s="50">
        <v>29</v>
      </c>
      <c r="C115" s="20" t="s">
        <v>158</v>
      </c>
      <c r="D115" s="20"/>
      <c r="E115" s="57">
        <v>45149</v>
      </c>
      <c r="F115" s="57">
        <v>45149</v>
      </c>
      <c r="G115" s="54">
        <v>11</v>
      </c>
      <c r="H115" s="54">
        <v>0</v>
      </c>
      <c r="I115" s="54">
        <v>11</v>
      </c>
      <c r="J115" s="20" t="s">
        <v>28</v>
      </c>
      <c r="K115" s="92">
        <v>4600</v>
      </c>
      <c r="L115" s="53">
        <f t="shared" si="6"/>
        <v>50600</v>
      </c>
    </row>
    <row r="116" spans="2:12" s="31" customFormat="1" x14ac:dyDescent="0.3">
      <c r="B116" s="50">
        <v>30</v>
      </c>
      <c r="C116" s="20" t="s">
        <v>159</v>
      </c>
      <c r="D116" s="20"/>
      <c r="E116" s="57">
        <v>45149</v>
      </c>
      <c r="F116" s="57">
        <v>45149</v>
      </c>
      <c r="G116" s="54">
        <v>2</v>
      </c>
      <c r="H116" s="54">
        <v>0</v>
      </c>
      <c r="I116" s="54">
        <v>2</v>
      </c>
      <c r="J116" s="20" t="s">
        <v>28</v>
      </c>
      <c r="K116" s="88">
        <v>2495</v>
      </c>
      <c r="L116" s="53">
        <f t="shared" si="6"/>
        <v>4990</v>
      </c>
    </row>
    <row r="117" spans="2:12" s="31" customFormat="1" x14ac:dyDescent="0.3">
      <c r="B117" s="50">
        <v>31</v>
      </c>
      <c r="C117" s="20" t="s">
        <v>160</v>
      </c>
      <c r="D117" s="20"/>
      <c r="E117" s="57">
        <v>45149</v>
      </c>
      <c r="F117" s="57">
        <v>45149</v>
      </c>
      <c r="G117" s="54">
        <v>24</v>
      </c>
      <c r="H117" s="54">
        <v>0</v>
      </c>
      <c r="I117" s="54">
        <v>24</v>
      </c>
      <c r="J117" s="20" t="s">
        <v>28</v>
      </c>
      <c r="K117" s="90">
        <v>500</v>
      </c>
      <c r="L117" s="53">
        <f t="shared" si="6"/>
        <v>12000</v>
      </c>
    </row>
    <row r="118" spans="2:12" s="31" customFormat="1" x14ac:dyDescent="0.3">
      <c r="B118" s="50">
        <v>32</v>
      </c>
      <c r="C118" s="20" t="s">
        <v>166</v>
      </c>
      <c r="D118" s="20"/>
      <c r="E118" s="57">
        <v>45149</v>
      </c>
      <c r="F118" s="57">
        <v>45149</v>
      </c>
      <c r="G118" s="54">
        <v>1399</v>
      </c>
      <c r="H118" s="54"/>
      <c r="I118" s="54">
        <v>1399</v>
      </c>
      <c r="J118" s="20" t="s">
        <v>28</v>
      </c>
      <c r="K118" s="88">
        <v>300</v>
      </c>
      <c r="L118" s="53">
        <f t="shared" si="6"/>
        <v>419700</v>
      </c>
    </row>
    <row r="119" spans="2:12" s="31" customFormat="1" x14ac:dyDescent="0.3">
      <c r="B119" s="50">
        <v>34</v>
      </c>
      <c r="C119" s="20" t="s">
        <v>172</v>
      </c>
      <c r="D119" s="20"/>
      <c r="E119" s="57">
        <v>45149</v>
      </c>
      <c r="F119" s="57">
        <v>45149</v>
      </c>
      <c r="G119" s="54">
        <v>56</v>
      </c>
      <c r="H119" s="54">
        <v>0</v>
      </c>
      <c r="I119" s="54">
        <v>56</v>
      </c>
      <c r="J119" s="58" t="s">
        <v>28</v>
      </c>
      <c r="K119" s="88">
        <v>59</v>
      </c>
      <c r="L119" s="53">
        <f t="shared" si="6"/>
        <v>3304</v>
      </c>
    </row>
    <row r="120" spans="2:12" s="31" customFormat="1" x14ac:dyDescent="0.3">
      <c r="B120" s="50">
        <v>35</v>
      </c>
      <c r="C120" s="20" t="s">
        <v>173</v>
      </c>
      <c r="D120" s="20"/>
      <c r="E120" s="57">
        <v>45149</v>
      </c>
      <c r="F120" s="57">
        <v>45149</v>
      </c>
      <c r="G120" s="54">
        <v>40</v>
      </c>
      <c r="H120" s="54">
        <v>0</v>
      </c>
      <c r="I120" s="54">
        <v>40</v>
      </c>
      <c r="J120" s="58" t="s">
        <v>28</v>
      </c>
      <c r="K120" s="88">
        <v>189</v>
      </c>
      <c r="L120" s="53">
        <f t="shared" si="6"/>
        <v>7560</v>
      </c>
    </row>
    <row r="121" spans="2:12" s="31" customFormat="1" x14ac:dyDescent="0.3">
      <c r="B121" s="50">
        <v>37</v>
      </c>
      <c r="C121" s="20" t="s">
        <v>181</v>
      </c>
      <c r="D121" s="20"/>
      <c r="E121" s="57">
        <v>45149</v>
      </c>
      <c r="F121" s="57">
        <v>45149</v>
      </c>
      <c r="G121" s="54">
        <v>20</v>
      </c>
      <c r="H121" s="54">
        <v>0</v>
      </c>
      <c r="I121" s="54">
        <v>20</v>
      </c>
      <c r="J121" s="20" t="s">
        <v>33</v>
      </c>
      <c r="K121" s="53">
        <v>480</v>
      </c>
      <c r="L121" s="53">
        <f t="shared" si="6"/>
        <v>9600</v>
      </c>
    </row>
    <row r="122" spans="2:12" s="31" customFormat="1" x14ac:dyDescent="0.3">
      <c r="B122" s="50">
        <v>40</v>
      </c>
      <c r="C122" s="20" t="s">
        <v>186</v>
      </c>
      <c r="D122" s="20"/>
      <c r="E122" s="57">
        <v>45149</v>
      </c>
      <c r="F122" s="57">
        <v>45149</v>
      </c>
      <c r="G122" s="54">
        <v>312</v>
      </c>
      <c r="H122" s="54">
        <v>0</v>
      </c>
      <c r="I122" s="54">
        <v>312</v>
      </c>
      <c r="J122" s="58" t="s">
        <v>28</v>
      </c>
      <c r="K122" s="53">
        <v>230</v>
      </c>
      <c r="L122" s="53">
        <f t="shared" si="6"/>
        <v>71760</v>
      </c>
    </row>
    <row r="123" spans="2:12" s="31" customFormat="1" x14ac:dyDescent="0.3">
      <c r="B123" s="50">
        <v>41</v>
      </c>
      <c r="C123" s="21" t="s">
        <v>187</v>
      </c>
      <c r="D123" s="49"/>
      <c r="E123" s="57">
        <v>45149</v>
      </c>
      <c r="F123" s="57">
        <v>45149</v>
      </c>
      <c r="G123" s="54">
        <v>1</v>
      </c>
      <c r="H123" s="54">
        <v>0</v>
      </c>
      <c r="I123" s="54">
        <v>1</v>
      </c>
      <c r="J123" s="58" t="s">
        <v>28</v>
      </c>
      <c r="K123" s="89">
        <v>802.4</v>
      </c>
      <c r="L123" s="53">
        <f t="shared" si="6"/>
        <v>802.4</v>
      </c>
    </row>
    <row r="124" spans="2:12" s="31" customFormat="1" x14ac:dyDescent="0.3">
      <c r="B124" s="50">
        <v>42</v>
      </c>
      <c r="C124" s="21" t="s">
        <v>188</v>
      </c>
      <c r="D124" s="49"/>
      <c r="E124" s="57">
        <v>45149</v>
      </c>
      <c r="F124" s="57">
        <v>45149</v>
      </c>
      <c r="G124" s="54">
        <v>1</v>
      </c>
      <c r="H124" s="54">
        <v>0</v>
      </c>
      <c r="I124" s="54">
        <f t="shared" ref="I124:I126" si="7">+G123-H123</f>
        <v>1</v>
      </c>
      <c r="J124" s="58" t="s">
        <v>28</v>
      </c>
      <c r="K124" s="89">
        <v>802.4</v>
      </c>
      <c r="L124" s="53">
        <f t="shared" si="6"/>
        <v>802.4</v>
      </c>
    </row>
    <row r="125" spans="2:12" s="31" customFormat="1" x14ac:dyDescent="0.3">
      <c r="B125" s="50">
        <v>43</v>
      </c>
      <c r="C125" s="21" t="s">
        <v>189</v>
      </c>
      <c r="D125" s="49"/>
      <c r="E125" s="57">
        <v>45149</v>
      </c>
      <c r="F125" s="57">
        <v>45149</v>
      </c>
      <c r="G125" s="54">
        <v>1</v>
      </c>
      <c r="H125" s="54">
        <v>0</v>
      </c>
      <c r="I125" s="54">
        <f t="shared" si="7"/>
        <v>1</v>
      </c>
      <c r="J125" s="58" t="s">
        <v>28</v>
      </c>
      <c r="K125" s="89">
        <v>802.4</v>
      </c>
      <c r="L125" s="53">
        <f t="shared" si="6"/>
        <v>802.4</v>
      </c>
    </row>
    <row r="126" spans="2:12" s="31" customFormat="1" x14ac:dyDescent="0.3">
      <c r="B126" s="50">
        <v>44</v>
      </c>
      <c r="C126" s="21" t="s">
        <v>190</v>
      </c>
      <c r="D126" s="49"/>
      <c r="E126" s="57">
        <v>45149</v>
      </c>
      <c r="F126" s="57">
        <v>45149</v>
      </c>
      <c r="G126" s="54">
        <v>1</v>
      </c>
      <c r="H126" s="54">
        <v>0</v>
      </c>
      <c r="I126" s="54">
        <f t="shared" si="7"/>
        <v>1</v>
      </c>
      <c r="J126" s="58" t="s">
        <v>28</v>
      </c>
      <c r="K126" s="89">
        <v>802.4</v>
      </c>
      <c r="L126" s="53">
        <f t="shared" si="6"/>
        <v>802.4</v>
      </c>
    </row>
    <row r="127" spans="2:12" s="31" customFormat="1" x14ac:dyDescent="0.3">
      <c r="B127" s="50">
        <v>45</v>
      </c>
      <c r="C127" s="20" t="s">
        <v>191</v>
      </c>
      <c r="D127" s="20"/>
      <c r="E127" s="57">
        <v>45149</v>
      </c>
      <c r="F127" s="57">
        <v>45149</v>
      </c>
      <c r="G127" s="54">
        <v>29</v>
      </c>
      <c r="H127" s="54">
        <v>0</v>
      </c>
      <c r="I127" s="95">
        <v>29</v>
      </c>
      <c r="J127" s="58" t="s">
        <v>28</v>
      </c>
      <c r="K127" s="90">
        <v>150</v>
      </c>
      <c r="L127" s="53">
        <f t="shared" si="6"/>
        <v>4350</v>
      </c>
    </row>
    <row r="128" spans="2:12" s="31" customFormat="1" x14ac:dyDescent="0.3">
      <c r="B128" s="50">
        <v>46</v>
      </c>
      <c r="C128" s="20" t="s">
        <v>192</v>
      </c>
      <c r="D128" s="20"/>
      <c r="E128" s="57">
        <v>45149</v>
      </c>
      <c r="F128" s="57">
        <v>45149</v>
      </c>
      <c r="G128" s="54">
        <v>56</v>
      </c>
      <c r="H128" s="54">
        <v>0</v>
      </c>
      <c r="I128" s="54">
        <v>56</v>
      </c>
      <c r="J128" s="58" t="s">
        <v>28</v>
      </c>
      <c r="K128" s="20">
        <v>272.58</v>
      </c>
      <c r="L128" s="53">
        <f t="shared" ref="L128:L184" si="8">I128*K128</f>
        <v>15264.48</v>
      </c>
    </row>
    <row r="129" spans="2:12" s="31" customFormat="1" x14ac:dyDescent="0.3">
      <c r="B129" s="50">
        <v>47</v>
      </c>
      <c r="C129" s="20" t="s">
        <v>193</v>
      </c>
      <c r="D129" s="20"/>
      <c r="E129" s="57">
        <v>45149</v>
      </c>
      <c r="F129" s="57">
        <v>45149</v>
      </c>
      <c r="G129" s="54">
        <v>24</v>
      </c>
      <c r="H129" s="54">
        <v>0</v>
      </c>
      <c r="I129" s="54">
        <v>24</v>
      </c>
      <c r="J129" s="58" t="s">
        <v>28</v>
      </c>
      <c r="K129" s="20">
        <v>80.989999999999995</v>
      </c>
      <c r="L129" s="53">
        <f t="shared" si="8"/>
        <v>1943.7599999999998</v>
      </c>
    </row>
    <row r="130" spans="2:12" s="31" customFormat="1" x14ac:dyDescent="0.3">
      <c r="B130" s="50">
        <v>48</v>
      </c>
      <c r="C130" s="20" t="s">
        <v>194</v>
      </c>
      <c r="D130" s="20"/>
      <c r="E130" s="57">
        <v>45149</v>
      </c>
      <c r="F130" s="57">
        <v>45149</v>
      </c>
      <c r="G130" s="54">
        <v>7</v>
      </c>
      <c r="H130" s="54">
        <v>0</v>
      </c>
      <c r="I130" s="54">
        <v>7</v>
      </c>
      <c r="J130" s="20" t="s">
        <v>195</v>
      </c>
      <c r="K130" s="20">
        <v>422.49</v>
      </c>
      <c r="L130" s="53">
        <f t="shared" si="8"/>
        <v>2957.4300000000003</v>
      </c>
    </row>
    <row r="131" spans="2:12" s="31" customFormat="1" x14ac:dyDescent="0.3">
      <c r="B131" s="50">
        <v>51</v>
      </c>
      <c r="C131" s="20" t="s">
        <v>211</v>
      </c>
      <c r="D131" s="20"/>
      <c r="E131" s="57">
        <v>45149</v>
      </c>
      <c r="F131" s="57">
        <v>45149</v>
      </c>
      <c r="G131" s="54">
        <v>2</v>
      </c>
      <c r="H131" s="54">
        <v>0</v>
      </c>
      <c r="I131" s="95">
        <v>2</v>
      </c>
      <c r="J131" s="20" t="s">
        <v>212</v>
      </c>
      <c r="K131" s="53">
        <v>89</v>
      </c>
      <c r="L131" s="53">
        <f t="shared" si="8"/>
        <v>178</v>
      </c>
    </row>
    <row r="132" spans="2:12" s="31" customFormat="1" x14ac:dyDescent="0.3">
      <c r="B132" s="50">
        <v>52</v>
      </c>
      <c r="C132" s="20" t="s">
        <v>223</v>
      </c>
      <c r="D132" s="20"/>
      <c r="E132" s="57">
        <v>45149</v>
      </c>
      <c r="F132" s="57">
        <v>45149</v>
      </c>
      <c r="G132" s="54">
        <v>96</v>
      </c>
      <c r="H132" s="54">
        <v>0</v>
      </c>
      <c r="I132" s="54">
        <v>96</v>
      </c>
      <c r="J132" s="58" t="s">
        <v>28</v>
      </c>
      <c r="K132" s="20">
        <v>60.74</v>
      </c>
      <c r="L132" s="53">
        <f t="shared" si="8"/>
        <v>5831.04</v>
      </c>
    </row>
    <row r="133" spans="2:12" s="31" customFormat="1" x14ac:dyDescent="0.3">
      <c r="B133" s="50">
        <v>53</v>
      </c>
      <c r="C133" s="20" t="s">
        <v>224</v>
      </c>
      <c r="D133" s="20"/>
      <c r="E133" s="57">
        <v>45149</v>
      </c>
      <c r="F133" s="57">
        <v>45149</v>
      </c>
      <c r="G133" s="54">
        <v>24</v>
      </c>
      <c r="H133" s="54">
        <v>0</v>
      </c>
      <c r="I133" s="95">
        <v>24</v>
      </c>
      <c r="J133" s="58" t="s">
        <v>28</v>
      </c>
      <c r="K133" s="20">
        <v>141.74</v>
      </c>
      <c r="L133" s="53">
        <f t="shared" si="8"/>
        <v>3401.76</v>
      </c>
    </row>
    <row r="134" spans="2:12" s="31" customFormat="1" x14ac:dyDescent="0.3">
      <c r="B134" s="50">
        <v>54</v>
      </c>
      <c r="C134" s="20" t="s">
        <v>227</v>
      </c>
      <c r="D134" s="20"/>
      <c r="E134" s="57">
        <v>45149</v>
      </c>
      <c r="F134" s="57">
        <v>45149</v>
      </c>
      <c r="G134" s="54">
        <v>16</v>
      </c>
      <c r="H134" s="54">
        <v>0</v>
      </c>
      <c r="I134" s="54">
        <v>16</v>
      </c>
      <c r="J134" s="58" t="s">
        <v>28</v>
      </c>
      <c r="K134" s="20">
        <v>55.99</v>
      </c>
      <c r="L134" s="53">
        <f t="shared" si="8"/>
        <v>895.84</v>
      </c>
    </row>
    <row r="135" spans="2:12" s="31" customFormat="1" x14ac:dyDescent="0.3">
      <c r="B135" s="50">
        <v>58</v>
      </c>
      <c r="C135" s="20" t="s">
        <v>280</v>
      </c>
      <c r="D135" s="49" t="s">
        <v>25</v>
      </c>
      <c r="E135" s="57">
        <v>45149</v>
      </c>
      <c r="F135" s="57">
        <v>45149</v>
      </c>
      <c r="G135" s="54">
        <v>12</v>
      </c>
      <c r="H135" s="54">
        <v>0</v>
      </c>
      <c r="I135" s="54">
        <v>12</v>
      </c>
      <c r="J135" s="58" t="s">
        <v>28</v>
      </c>
      <c r="K135" s="88">
        <v>200</v>
      </c>
      <c r="L135" s="53">
        <f t="shared" si="8"/>
        <v>2400</v>
      </c>
    </row>
    <row r="136" spans="2:12" s="31" customFormat="1" x14ac:dyDescent="0.3">
      <c r="B136" s="56">
        <v>12141901</v>
      </c>
      <c r="C136" s="21" t="s">
        <v>91</v>
      </c>
      <c r="D136" s="49" t="s">
        <v>25</v>
      </c>
      <c r="E136" s="57">
        <v>45140</v>
      </c>
      <c r="F136" s="57">
        <v>45140</v>
      </c>
      <c r="G136" s="54">
        <v>368</v>
      </c>
      <c r="H136" s="54">
        <v>47</v>
      </c>
      <c r="I136" s="54">
        <v>321</v>
      </c>
      <c r="J136" s="58" t="s">
        <v>93</v>
      </c>
      <c r="K136" s="59">
        <v>62</v>
      </c>
      <c r="L136" s="53">
        <f t="shared" si="8"/>
        <v>19902</v>
      </c>
    </row>
    <row r="137" spans="2:12" s="31" customFormat="1" x14ac:dyDescent="0.3">
      <c r="B137" s="56">
        <v>14111705</v>
      </c>
      <c r="C137" s="21" t="s">
        <v>213</v>
      </c>
      <c r="D137" s="49" t="s">
        <v>25</v>
      </c>
      <c r="E137" s="57">
        <v>45357</v>
      </c>
      <c r="F137" s="57">
        <v>45357</v>
      </c>
      <c r="G137" s="54">
        <v>119</v>
      </c>
      <c r="H137" s="54">
        <v>34</v>
      </c>
      <c r="I137" s="54">
        <v>85</v>
      </c>
      <c r="J137" s="58" t="s">
        <v>54</v>
      </c>
      <c r="K137" s="59">
        <v>1031.32</v>
      </c>
      <c r="L137" s="53">
        <f t="shared" si="8"/>
        <v>87662.2</v>
      </c>
    </row>
    <row r="138" spans="2:12" s="31" customFormat="1" x14ac:dyDescent="0.3">
      <c r="B138" s="56">
        <v>50161814</v>
      </c>
      <c r="C138" s="21" t="s">
        <v>29</v>
      </c>
      <c r="D138" s="49" t="s">
        <v>25</v>
      </c>
      <c r="E138" s="57" t="s">
        <v>30</v>
      </c>
      <c r="F138" s="57" t="s">
        <v>30</v>
      </c>
      <c r="G138" s="54">
        <v>424</v>
      </c>
      <c r="H138" s="54">
        <v>62</v>
      </c>
      <c r="I138" s="54">
        <v>362</v>
      </c>
      <c r="J138" s="58" t="s">
        <v>33</v>
      </c>
      <c r="K138" s="59">
        <v>240</v>
      </c>
      <c r="L138" s="53">
        <f t="shared" si="8"/>
        <v>86880</v>
      </c>
    </row>
    <row r="139" spans="2:12" s="31" customFormat="1" x14ac:dyDescent="0.3">
      <c r="B139" s="56">
        <v>50201706</v>
      </c>
      <c r="C139" s="21" t="s">
        <v>53</v>
      </c>
      <c r="D139" s="49" t="s">
        <v>25</v>
      </c>
      <c r="E139" s="57" t="s">
        <v>30</v>
      </c>
      <c r="F139" s="57" t="s">
        <v>30</v>
      </c>
      <c r="G139" s="54">
        <v>73</v>
      </c>
      <c r="H139" s="54">
        <v>4</v>
      </c>
      <c r="I139" s="54">
        <f>G139-H139</f>
        <v>69</v>
      </c>
      <c r="J139" s="58" t="s">
        <v>54</v>
      </c>
      <c r="K139" s="59">
        <v>406</v>
      </c>
      <c r="L139" s="53">
        <f t="shared" si="8"/>
        <v>28014</v>
      </c>
    </row>
    <row r="140" spans="2:12" s="31" customFormat="1" x14ac:dyDescent="0.3">
      <c r="B140" s="56">
        <v>44122003</v>
      </c>
      <c r="C140" s="21" t="s">
        <v>63</v>
      </c>
      <c r="D140" s="49" t="s">
        <v>25</v>
      </c>
      <c r="E140" s="57" t="s">
        <v>30</v>
      </c>
      <c r="F140" s="57" t="s">
        <v>30</v>
      </c>
      <c r="G140" s="54">
        <v>146</v>
      </c>
      <c r="H140" s="54"/>
      <c r="I140" s="54">
        <v>146</v>
      </c>
      <c r="J140" s="58" t="s">
        <v>28</v>
      </c>
      <c r="K140" s="59">
        <v>551</v>
      </c>
      <c r="L140" s="53">
        <f t="shared" si="8"/>
        <v>80446</v>
      </c>
    </row>
    <row r="141" spans="2:12" s="31" customFormat="1" x14ac:dyDescent="0.3">
      <c r="B141" s="50">
        <v>5020174</v>
      </c>
      <c r="C141" s="21" t="s">
        <v>96</v>
      </c>
      <c r="D141" s="49" t="s">
        <v>25</v>
      </c>
      <c r="E141" s="57" t="s">
        <v>30</v>
      </c>
      <c r="F141" s="57" t="s">
        <v>30</v>
      </c>
      <c r="G141" s="54">
        <v>99</v>
      </c>
      <c r="H141" s="54">
        <v>22</v>
      </c>
      <c r="I141" s="95">
        <v>77</v>
      </c>
      <c r="J141" s="58" t="s">
        <v>28</v>
      </c>
      <c r="K141" s="59">
        <v>406</v>
      </c>
      <c r="L141" s="53">
        <f t="shared" si="8"/>
        <v>31262</v>
      </c>
    </row>
    <row r="142" spans="2:12" s="31" customFormat="1" x14ac:dyDescent="0.3">
      <c r="B142" s="50">
        <v>50201711</v>
      </c>
      <c r="C142" s="21" t="s">
        <v>225</v>
      </c>
      <c r="D142" s="49" t="s">
        <v>25</v>
      </c>
      <c r="E142" s="57" t="s">
        <v>30</v>
      </c>
      <c r="F142" s="57" t="s">
        <v>30</v>
      </c>
      <c r="G142" s="54">
        <v>147</v>
      </c>
      <c r="H142" s="54">
        <v>16</v>
      </c>
      <c r="I142" s="54">
        <f>G142-H142</f>
        <v>131</v>
      </c>
      <c r="J142" s="58" t="s">
        <v>33</v>
      </c>
      <c r="K142" s="59">
        <v>400</v>
      </c>
      <c r="L142" s="53">
        <f t="shared" si="8"/>
        <v>52400</v>
      </c>
    </row>
    <row r="143" spans="2:12" s="31" customFormat="1" x14ac:dyDescent="0.3">
      <c r="B143" s="56">
        <v>47121806</v>
      </c>
      <c r="C143" s="21" t="s">
        <v>273</v>
      </c>
      <c r="D143" s="49" t="s">
        <v>25</v>
      </c>
      <c r="E143" s="57" t="s">
        <v>274</v>
      </c>
      <c r="F143" s="57" t="s">
        <v>274</v>
      </c>
      <c r="G143" s="54">
        <v>62</v>
      </c>
      <c r="H143" s="54">
        <v>0</v>
      </c>
      <c r="I143" s="54">
        <v>62</v>
      </c>
      <c r="J143" s="58" t="s">
        <v>28</v>
      </c>
      <c r="K143" s="59">
        <v>413</v>
      </c>
      <c r="L143" s="53">
        <f t="shared" si="8"/>
        <v>25606</v>
      </c>
    </row>
    <row r="144" spans="2:12" s="31" customFormat="1" x14ac:dyDescent="0.3">
      <c r="B144" s="56">
        <v>47121806</v>
      </c>
      <c r="C144" s="21" t="s">
        <v>98</v>
      </c>
      <c r="D144" s="49" t="s">
        <v>25</v>
      </c>
      <c r="E144" s="57" t="s">
        <v>99</v>
      </c>
      <c r="F144" s="57" t="s">
        <v>99</v>
      </c>
      <c r="G144" s="54">
        <v>31</v>
      </c>
      <c r="H144" s="54">
        <v>0</v>
      </c>
      <c r="I144" s="54">
        <v>31</v>
      </c>
      <c r="J144" s="58" t="s">
        <v>28</v>
      </c>
      <c r="K144" s="59">
        <v>368</v>
      </c>
      <c r="L144" s="53">
        <f t="shared" si="8"/>
        <v>11408</v>
      </c>
    </row>
    <row r="145" spans="2:12" s="31" customFormat="1" x14ac:dyDescent="0.3">
      <c r="B145" s="56">
        <v>44122011</v>
      </c>
      <c r="C145" s="21" t="s">
        <v>127</v>
      </c>
      <c r="D145" s="49" t="s">
        <v>25</v>
      </c>
      <c r="E145" s="57" t="s">
        <v>36</v>
      </c>
      <c r="F145" s="57" t="s">
        <v>36</v>
      </c>
      <c r="G145" s="54">
        <v>914</v>
      </c>
      <c r="H145" s="54">
        <v>0</v>
      </c>
      <c r="I145" s="95">
        <v>914</v>
      </c>
      <c r="J145" s="96" t="s">
        <v>28</v>
      </c>
      <c r="K145" s="59">
        <v>117</v>
      </c>
      <c r="L145" s="53">
        <f t="shared" si="8"/>
        <v>106938</v>
      </c>
    </row>
    <row r="146" spans="2:12" s="31" customFormat="1" x14ac:dyDescent="0.3">
      <c r="B146" s="56" t="s">
        <v>138</v>
      </c>
      <c r="C146" s="21" t="s">
        <v>139</v>
      </c>
      <c r="D146" s="49" t="s">
        <v>25</v>
      </c>
      <c r="E146" s="57" t="s">
        <v>36</v>
      </c>
      <c r="F146" s="57" t="s">
        <v>36</v>
      </c>
      <c r="G146" s="54">
        <v>151</v>
      </c>
      <c r="H146" s="54">
        <v>16</v>
      </c>
      <c r="I146" s="54">
        <v>135</v>
      </c>
      <c r="J146" s="58" t="s">
        <v>28</v>
      </c>
      <c r="K146" s="59">
        <v>34</v>
      </c>
      <c r="L146" s="53">
        <f t="shared" si="8"/>
        <v>4590</v>
      </c>
    </row>
    <row r="147" spans="2:12" s="31" customFormat="1" x14ac:dyDescent="0.3">
      <c r="B147" s="56">
        <v>44121505</v>
      </c>
      <c r="C147" s="21" t="s">
        <v>217</v>
      </c>
      <c r="D147" s="49" t="s">
        <v>25</v>
      </c>
      <c r="E147" s="57" t="s">
        <v>36</v>
      </c>
      <c r="F147" s="57" t="s">
        <v>36</v>
      </c>
      <c r="G147" s="54">
        <v>6</v>
      </c>
      <c r="H147" s="54">
        <v>0</v>
      </c>
      <c r="I147" s="54">
        <v>6</v>
      </c>
      <c r="J147" s="58" t="s">
        <v>38</v>
      </c>
      <c r="K147" s="59">
        <v>4484</v>
      </c>
      <c r="L147" s="53">
        <f t="shared" si="8"/>
        <v>26904</v>
      </c>
    </row>
    <row r="148" spans="2:12" s="31" customFormat="1" x14ac:dyDescent="0.3">
      <c r="B148" s="56">
        <v>44121505</v>
      </c>
      <c r="C148" s="21" t="s">
        <v>218</v>
      </c>
      <c r="D148" s="49" t="s">
        <v>25</v>
      </c>
      <c r="E148" s="57" t="s">
        <v>36</v>
      </c>
      <c r="F148" s="57" t="s">
        <v>36</v>
      </c>
      <c r="G148" s="54">
        <v>2</v>
      </c>
      <c r="H148" s="54">
        <v>0</v>
      </c>
      <c r="I148" s="54">
        <v>2</v>
      </c>
      <c r="J148" s="58" t="s">
        <v>219</v>
      </c>
      <c r="K148" s="59">
        <v>3422</v>
      </c>
      <c r="L148" s="53">
        <f t="shared" si="8"/>
        <v>6844</v>
      </c>
    </row>
    <row r="149" spans="2:12" s="31" customFormat="1" x14ac:dyDescent="0.3">
      <c r="B149" s="50">
        <v>44103103</v>
      </c>
      <c r="C149" s="21" t="s">
        <v>258</v>
      </c>
      <c r="D149" s="49" t="s">
        <v>25</v>
      </c>
      <c r="E149" s="57">
        <v>44498</v>
      </c>
      <c r="F149" s="57">
        <v>44498</v>
      </c>
      <c r="G149" s="54">
        <v>12</v>
      </c>
      <c r="H149" s="54">
        <v>0</v>
      </c>
      <c r="I149" s="95">
        <v>12</v>
      </c>
      <c r="J149" s="96" t="s">
        <v>28</v>
      </c>
      <c r="K149" s="59">
        <v>15133</v>
      </c>
      <c r="L149" s="53">
        <f t="shared" si="8"/>
        <v>181596</v>
      </c>
    </row>
    <row r="150" spans="2:12" s="31" customFormat="1" x14ac:dyDescent="0.3">
      <c r="B150" s="50">
        <v>44103103</v>
      </c>
      <c r="C150" s="21" t="s">
        <v>199</v>
      </c>
      <c r="D150" s="49" t="s">
        <v>25</v>
      </c>
      <c r="E150" s="57">
        <v>44497</v>
      </c>
      <c r="F150" s="57">
        <v>44497</v>
      </c>
      <c r="G150" s="54">
        <v>10</v>
      </c>
      <c r="H150" s="54">
        <v>0</v>
      </c>
      <c r="I150" s="54">
        <v>10</v>
      </c>
      <c r="J150" s="58" t="s">
        <v>28</v>
      </c>
      <c r="K150" s="59">
        <v>7805</v>
      </c>
      <c r="L150" s="53">
        <f t="shared" si="8"/>
        <v>78050</v>
      </c>
    </row>
    <row r="151" spans="2:12" s="31" customFormat="1" x14ac:dyDescent="0.3">
      <c r="B151" s="50">
        <v>44103103</v>
      </c>
      <c r="C151" s="21" t="s">
        <v>234</v>
      </c>
      <c r="D151" s="49" t="s">
        <v>25</v>
      </c>
      <c r="E151" s="57">
        <v>44497</v>
      </c>
      <c r="F151" s="57">
        <v>44497</v>
      </c>
      <c r="G151" s="54">
        <v>4</v>
      </c>
      <c r="H151" s="54">
        <v>0</v>
      </c>
      <c r="I151" s="54">
        <v>4</v>
      </c>
      <c r="J151" s="58" t="s">
        <v>28</v>
      </c>
      <c r="K151" s="59">
        <v>4940</v>
      </c>
      <c r="L151" s="53">
        <f t="shared" si="8"/>
        <v>19760</v>
      </c>
    </row>
    <row r="152" spans="2:12" s="31" customFormat="1" x14ac:dyDescent="0.3">
      <c r="B152" s="50">
        <v>44103103</v>
      </c>
      <c r="C152" s="21" t="s">
        <v>236</v>
      </c>
      <c r="D152" s="49" t="s">
        <v>25</v>
      </c>
      <c r="E152" s="57">
        <v>44497</v>
      </c>
      <c r="F152" s="57">
        <v>44497</v>
      </c>
      <c r="G152" s="54">
        <v>6</v>
      </c>
      <c r="H152" s="54">
        <v>1</v>
      </c>
      <c r="I152" s="54">
        <v>5</v>
      </c>
      <c r="J152" s="58" t="s">
        <v>28</v>
      </c>
      <c r="K152" s="59">
        <v>4602</v>
      </c>
      <c r="L152" s="53">
        <f t="shared" si="8"/>
        <v>23010</v>
      </c>
    </row>
    <row r="153" spans="2:12" s="31" customFormat="1" x14ac:dyDescent="0.3">
      <c r="B153" s="50">
        <v>44103103</v>
      </c>
      <c r="C153" s="21" t="s">
        <v>237</v>
      </c>
      <c r="D153" s="49" t="s">
        <v>25</v>
      </c>
      <c r="E153" s="57">
        <v>44497</v>
      </c>
      <c r="F153" s="57">
        <v>44497</v>
      </c>
      <c r="G153" s="54">
        <v>7</v>
      </c>
      <c r="H153" s="54"/>
      <c r="I153" s="54">
        <v>7</v>
      </c>
      <c r="J153" s="58" t="s">
        <v>28</v>
      </c>
      <c r="K153" s="59">
        <v>4602</v>
      </c>
      <c r="L153" s="53">
        <f t="shared" si="8"/>
        <v>32214</v>
      </c>
    </row>
    <row r="154" spans="2:12" s="31" customFormat="1" x14ac:dyDescent="0.3">
      <c r="B154" s="50">
        <v>44103103</v>
      </c>
      <c r="C154" s="21" t="s">
        <v>240</v>
      </c>
      <c r="D154" s="49" t="s">
        <v>25</v>
      </c>
      <c r="E154" s="57">
        <v>44497</v>
      </c>
      <c r="F154" s="57">
        <v>44497</v>
      </c>
      <c r="G154" s="54">
        <v>4</v>
      </c>
      <c r="H154" s="54"/>
      <c r="I154" s="54">
        <v>4</v>
      </c>
      <c r="J154" s="58" t="s">
        <v>28</v>
      </c>
      <c r="K154" s="59">
        <v>8415</v>
      </c>
      <c r="L154" s="53">
        <f t="shared" si="8"/>
        <v>33660</v>
      </c>
    </row>
    <row r="155" spans="2:12" s="31" customFormat="1" x14ac:dyDescent="0.3">
      <c r="B155" s="50">
        <v>44103103</v>
      </c>
      <c r="C155" s="21" t="s">
        <v>251</v>
      </c>
      <c r="D155" s="49" t="s">
        <v>25</v>
      </c>
      <c r="E155" s="57">
        <v>44497</v>
      </c>
      <c r="F155" s="57">
        <v>44497</v>
      </c>
      <c r="G155" s="54">
        <v>8</v>
      </c>
      <c r="H155" s="54"/>
      <c r="I155" s="54">
        <v>8</v>
      </c>
      <c r="J155" s="58" t="s">
        <v>28</v>
      </c>
      <c r="K155" s="59">
        <v>6756</v>
      </c>
      <c r="L155" s="53">
        <f t="shared" si="8"/>
        <v>54048</v>
      </c>
    </row>
    <row r="156" spans="2:12" s="31" customFormat="1" x14ac:dyDescent="0.3">
      <c r="B156" s="50">
        <v>44103103</v>
      </c>
      <c r="C156" s="21" t="s">
        <v>252</v>
      </c>
      <c r="D156" s="49" t="s">
        <v>25</v>
      </c>
      <c r="E156" s="57">
        <v>44497</v>
      </c>
      <c r="F156" s="57">
        <v>44497</v>
      </c>
      <c r="G156" s="54">
        <v>10</v>
      </c>
      <c r="H156" s="54">
        <v>0</v>
      </c>
      <c r="I156" s="54">
        <v>10</v>
      </c>
      <c r="J156" s="58" t="s">
        <v>28</v>
      </c>
      <c r="K156" s="59">
        <v>6756</v>
      </c>
      <c r="L156" s="53">
        <f t="shared" si="8"/>
        <v>67560</v>
      </c>
    </row>
    <row r="157" spans="2:12" s="31" customFormat="1" x14ac:dyDescent="0.3">
      <c r="B157" s="50">
        <v>44103103</v>
      </c>
      <c r="C157" s="21" t="s">
        <v>253</v>
      </c>
      <c r="D157" s="49" t="s">
        <v>25</v>
      </c>
      <c r="E157" s="57">
        <v>44497</v>
      </c>
      <c r="F157" s="57">
        <v>44497</v>
      </c>
      <c r="G157" s="54">
        <v>10</v>
      </c>
      <c r="H157" s="54"/>
      <c r="I157" s="95">
        <f t="shared" ref="I157:I172" si="9">+G156-H156</f>
        <v>10</v>
      </c>
      <c r="J157" s="58" t="s">
        <v>28</v>
      </c>
      <c r="K157" s="59">
        <v>5838</v>
      </c>
      <c r="L157" s="53">
        <f t="shared" si="8"/>
        <v>58380</v>
      </c>
    </row>
    <row r="158" spans="2:12" s="31" customFormat="1" x14ac:dyDescent="0.3">
      <c r="B158" s="50">
        <v>44103103</v>
      </c>
      <c r="C158" s="21" t="s">
        <v>255</v>
      </c>
      <c r="D158" s="49" t="s">
        <v>25</v>
      </c>
      <c r="E158" s="57">
        <v>44497</v>
      </c>
      <c r="F158" s="57">
        <v>44497</v>
      </c>
      <c r="G158" s="54">
        <v>13</v>
      </c>
      <c r="H158" s="54">
        <v>0</v>
      </c>
      <c r="I158" s="54">
        <v>13</v>
      </c>
      <c r="J158" s="58" t="s">
        <v>28</v>
      </c>
      <c r="K158" s="59">
        <v>6987</v>
      </c>
      <c r="L158" s="53">
        <f t="shared" si="8"/>
        <v>90831</v>
      </c>
    </row>
    <row r="159" spans="2:12" s="31" customFormat="1" x14ac:dyDescent="0.3">
      <c r="B159" s="50">
        <v>44103103</v>
      </c>
      <c r="C159" s="21" t="s">
        <v>256</v>
      </c>
      <c r="D159" s="49" t="s">
        <v>25</v>
      </c>
      <c r="E159" s="57">
        <v>44497</v>
      </c>
      <c r="F159" s="57">
        <v>44497</v>
      </c>
      <c r="G159" s="54">
        <v>12</v>
      </c>
      <c r="H159" s="54">
        <v>0</v>
      </c>
      <c r="I159" s="54">
        <v>12</v>
      </c>
      <c r="J159" s="58" t="s">
        <v>28</v>
      </c>
      <c r="K159" s="59">
        <v>15133</v>
      </c>
      <c r="L159" s="53">
        <f t="shared" si="8"/>
        <v>181596</v>
      </c>
    </row>
    <row r="160" spans="2:12" s="31" customFormat="1" x14ac:dyDescent="0.3">
      <c r="B160" s="50">
        <v>44103103</v>
      </c>
      <c r="C160" s="21" t="s">
        <v>257</v>
      </c>
      <c r="D160" s="49" t="s">
        <v>25</v>
      </c>
      <c r="E160" s="57">
        <v>44497</v>
      </c>
      <c r="F160" s="57">
        <v>44497</v>
      </c>
      <c r="G160" s="54">
        <v>11</v>
      </c>
      <c r="H160" s="54">
        <v>0</v>
      </c>
      <c r="I160" s="54">
        <v>11</v>
      </c>
      <c r="J160" s="58" t="s">
        <v>28</v>
      </c>
      <c r="K160" s="59">
        <v>15133</v>
      </c>
      <c r="L160" s="53">
        <f t="shared" si="8"/>
        <v>166463</v>
      </c>
    </row>
    <row r="161" spans="2:12" s="31" customFormat="1" x14ac:dyDescent="0.3">
      <c r="B161" s="50">
        <v>44103103</v>
      </c>
      <c r="C161" s="21" t="s">
        <v>260</v>
      </c>
      <c r="D161" s="49" t="s">
        <v>25</v>
      </c>
      <c r="E161" s="57">
        <v>44497</v>
      </c>
      <c r="F161" s="57">
        <v>44497</v>
      </c>
      <c r="G161" s="54">
        <v>16</v>
      </c>
      <c r="H161" s="54">
        <v>0</v>
      </c>
      <c r="I161" s="54">
        <v>16</v>
      </c>
      <c r="J161" s="58" t="s">
        <v>28</v>
      </c>
      <c r="K161" s="59">
        <v>6461</v>
      </c>
      <c r="L161" s="53">
        <f t="shared" si="8"/>
        <v>103376</v>
      </c>
    </row>
    <row r="162" spans="2:12" s="31" customFormat="1" x14ac:dyDescent="0.3">
      <c r="B162" s="50">
        <v>44103103</v>
      </c>
      <c r="C162" s="21" t="s">
        <v>263</v>
      </c>
      <c r="D162" s="49" t="s">
        <v>25</v>
      </c>
      <c r="E162" s="57">
        <v>44497</v>
      </c>
      <c r="F162" s="57">
        <v>44497</v>
      </c>
      <c r="G162" s="54">
        <v>10</v>
      </c>
      <c r="H162" s="54">
        <v>0</v>
      </c>
      <c r="I162" s="95">
        <v>10</v>
      </c>
      <c r="J162" s="58" t="s">
        <v>28</v>
      </c>
      <c r="K162" s="59">
        <v>21107</v>
      </c>
      <c r="L162" s="53">
        <f t="shared" si="8"/>
        <v>211070</v>
      </c>
    </row>
    <row r="163" spans="2:12" s="31" customFormat="1" x14ac:dyDescent="0.3">
      <c r="B163" s="50">
        <v>44103103</v>
      </c>
      <c r="C163" s="21" t="s">
        <v>264</v>
      </c>
      <c r="D163" s="49" t="s">
        <v>25</v>
      </c>
      <c r="E163" s="57">
        <v>44497</v>
      </c>
      <c r="F163" s="57">
        <v>44497</v>
      </c>
      <c r="G163" s="54">
        <v>10</v>
      </c>
      <c r="H163" s="54">
        <v>0</v>
      </c>
      <c r="I163" s="54">
        <f t="shared" si="9"/>
        <v>10</v>
      </c>
      <c r="J163" s="58" t="s">
        <v>28</v>
      </c>
      <c r="K163" s="59">
        <v>21107</v>
      </c>
      <c r="L163" s="53">
        <f t="shared" si="8"/>
        <v>211070</v>
      </c>
    </row>
    <row r="164" spans="2:12" s="31" customFormat="1" x14ac:dyDescent="0.3">
      <c r="B164" s="50">
        <v>44103103</v>
      </c>
      <c r="C164" s="21" t="s">
        <v>265</v>
      </c>
      <c r="D164" s="49" t="s">
        <v>25</v>
      </c>
      <c r="E164" s="57">
        <v>44497</v>
      </c>
      <c r="F164" s="57">
        <v>44497</v>
      </c>
      <c r="G164" s="54">
        <v>11</v>
      </c>
      <c r="H164" s="54">
        <v>0</v>
      </c>
      <c r="I164" s="54">
        <v>11</v>
      </c>
      <c r="J164" s="58" t="s">
        <v>28</v>
      </c>
      <c r="K164" s="59">
        <v>21107</v>
      </c>
      <c r="L164" s="53">
        <f t="shared" si="8"/>
        <v>232177</v>
      </c>
    </row>
    <row r="165" spans="2:12" s="31" customFormat="1" x14ac:dyDescent="0.3">
      <c r="B165" s="50">
        <v>44103103</v>
      </c>
      <c r="C165" s="21" t="s">
        <v>266</v>
      </c>
      <c r="D165" s="49" t="s">
        <v>25</v>
      </c>
      <c r="E165" s="57">
        <v>44497</v>
      </c>
      <c r="F165" s="57">
        <v>44497</v>
      </c>
      <c r="G165" s="54">
        <v>15</v>
      </c>
      <c r="H165" s="54">
        <v>0</v>
      </c>
      <c r="I165" s="54">
        <v>15</v>
      </c>
      <c r="J165" s="58" t="s">
        <v>28</v>
      </c>
      <c r="K165" s="59">
        <v>15033</v>
      </c>
      <c r="L165" s="53">
        <f t="shared" si="8"/>
        <v>225495</v>
      </c>
    </row>
    <row r="166" spans="2:12" s="31" customFormat="1" x14ac:dyDescent="0.3">
      <c r="B166" s="50">
        <v>44103103</v>
      </c>
      <c r="C166" s="21" t="s">
        <v>272</v>
      </c>
      <c r="D166" s="49" t="s">
        <v>25</v>
      </c>
      <c r="E166" s="57">
        <v>44497</v>
      </c>
      <c r="F166" s="57">
        <v>44497</v>
      </c>
      <c r="G166" s="54">
        <v>9</v>
      </c>
      <c r="H166" s="54">
        <v>0</v>
      </c>
      <c r="I166" s="54">
        <v>9</v>
      </c>
      <c r="J166" s="58" t="s">
        <v>28</v>
      </c>
      <c r="K166" s="59">
        <v>6756</v>
      </c>
      <c r="L166" s="53">
        <f t="shared" si="8"/>
        <v>60804</v>
      </c>
    </row>
    <row r="167" spans="2:12" s="31" customFormat="1" x14ac:dyDescent="0.3">
      <c r="B167" s="50">
        <v>44103103</v>
      </c>
      <c r="C167" s="21" t="s">
        <v>259</v>
      </c>
      <c r="D167" s="49" t="s">
        <v>25</v>
      </c>
      <c r="E167" s="57">
        <v>44410</v>
      </c>
      <c r="F167" s="57">
        <v>44410</v>
      </c>
      <c r="G167" s="54">
        <v>12</v>
      </c>
      <c r="H167" s="54">
        <v>0</v>
      </c>
      <c r="I167" s="54">
        <v>12</v>
      </c>
      <c r="J167" s="58" t="s">
        <v>28</v>
      </c>
      <c r="K167" s="59">
        <v>15133</v>
      </c>
      <c r="L167" s="53">
        <f t="shared" si="8"/>
        <v>181596</v>
      </c>
    </row>
    <row r="168" spans="2:12" s="31" customFormat="1" x14ac:dyDescent="0.3">
      <c r="B168" s="50">
        <v>44103103</v>
      </c>
      <c r="C168" s="21" t="s">
        <v>268</v>
      </c>
      <c r="D168" s="49" t="s">
        <v>25</v>
      </c>
      <c r="E168" s="57">
        <v>44410</v>
      </c>
      <c r="F168" s="57">
        <v>44410</v>
      </c>
      <c r="G168" s="54">
        <v>10</v>
      </c>
      <c r="H168" s="54">
        <v>0</v>
      </c>
      <c r="I168" s="54">
        <v>10</v>
      </c>
      <c r="J168" s="58" t="s">
        <v>28</v>
      </c>
      <c r="K168" s="59">
        <v>5770</v>
      </c>
      <c r="L168" s="53">
        <f t="shared" si="8"/>
        <v>57700</v>
      </c>
    </row>
    <row r="169" spans="2:12" s="31" customFormat="1" x14ac:dyDescent="0.3">
      <c r="B169" s="50">
        <v>44103103</v>
      </c>
      <c r="C169" s="21" t="s">
        <v>238</v>
      </c>
      <c r="D169" s="49" t="s">
        <v>25</v>
      </c>
      <c r="E169" s="57">
        <v>44405</v>
      </c>
      <c r="F169" s="57">
        <v>44405</v>
      </c>
      <c r="G169" s="54">
        <v>7</v>
      </c>
      <c r="H169" s="54">
        <v>0</v>
      </c>
      <c r="I169" s="54">
        <v>7</v>
      </c>
      <c r="J169" s="58" t="s">
        <v>28</v>
      </c>
      <c r="K169" s="89">
        <v>8298</v>
      </c>
      <c r="L169" s="53">
        <f t="shared" si="8"/>
        <v>58086</v>
      </c>
    </row>
    <row r="170" spans="2:12" s="31" customFormat="1" x14ac:dyDescent="0.3">
      <c r="B170" s="50">
        <v>44103103</v>
      </c>
      <c r="C170" s="21" t="s">
        <v>232</v>
      </c>
      <c r="D170" s="49" t="s">
        <v>25</v>
      </c>
      <c r="E170" s="57">
        <v>44386</v>
      </c>
      <c r="F170" s="57">
        <v>44386</v>
      </c>
      <c r="G170" s="54">
        <v>5</v>
      </c>
      <c r="H170" s="54">
        <v>0</v>
      </c>
      <c r="I170" s="54">
        <v>5</v>
      </c>
      <c r="J170" s="58" t="s">
        <v>28</v>
      </c>
      <c r="K170" s="59">
        <v>4940</v>
      </c>
      <c r="L170" s="53">
        <f t="shared" si="8"/>
        <v>24700</v>
      </c>
    </row>
    <row r="171" spans="2:12" s="31" customFormat="1" x14ac:dyDescent="0.3">
      <c r="B171" s="50">
        <v>44103103</v>
      </c>
      <c r="C171" s="21" t="s">
        <v>233</v>
      </c>
      <c r="D171" s="49" t="s">
        <v>25</v>
      </c>
      <c r="E171" s="57">
        <v>44386</v>
      </c>
      <c r="F171" s="57">
        <v>44386</v>
      </c>
      <c r="G171" s="54">
        <v>6</v>
      </c>
      <c r="H171" s="54">
        <v>0</v>
      </c>
      <c r="I171" s="54">
        <v>6</v>
      </c>
      <c r="J171" s="58" t="s">
        <v>28</v>
      </c>
      <c r="K171" s="59">
        <v>4940</v>
      </c>
      <c r="L171" s="53">
        <f t="shared" si="8"/>
        <v>29640</v>
      </c>
    </row>
    <row r="172" spans="2:12" s="31" customFormat="1" x14ac:dyDescent="0.3">
      <c r="B172" s="50">
        <v>44103103</v>
      </c>
      <c r="C172" s="21" t="s">
        <v>235</v>
      </c>
      <c r="D172" s="49" t="s">
        <v>25</v>
      </c>
      <c r="E172" s="57">
        <v>44386</v>
      </c>
      <c r="F172" s="57">
        <v>44386</v>
      </c>
      <c r="G172" s="54">
        <v>6</v>
      </c>
      <c r="H172" s="54">
        <v>0</v>
      </c>
      <c r="I172" s="54">
        <f t="shared" si="9"/>
        <v>6</v>
      </c>
      <c r="J172" s="58" t="s">
        <v>28</v>
      </c>
      <c r="K172" s="59">
        <v>4940</v>
      </c>
      <c r="L172" s="53">
        <f t="shared" si="8"/>
        <v>29640</v>
      </c>
    </row>
    <row r="173" spans="2:12" s="31" customFormat="1" x14ac:dyDescent="0.3">
      <c r="B173" s="50">
        <v>44103103</v>
      </c>
      <c r="C173" s="21" t="s">
        <v>261</v>
      </c>
      <c r="D173" s="49" t="s">
        <v>25</v>
      </c>
      <c r="E173" s="57">
        <v>45363</v>
      </c>
      <c r="F173" s="57">
        <v>45363</v>
      </c>
      <c r="G173" s="54">
        <v>30</v>
      </c>
      <c r="H173" s="54">
        <v>5</v>
      </c>
      <c r="I173" s="54">
        <v>25</v>
      </c>
      <c r="J173" s="58" t="s">
        <v>28</v>
      </c>
      <c r="K173" s="89">
        <v>9977.7099999999991</v>
      </c>
      <c r="L173" s="53">
        <f t="shared" si="8"/>
        <v>249442.74999999997</v>
      </c>
    </row>
    <row r="174" spans="2:12" s="31" customFormat="1" x14ac:dyDescent="0.3">
      <c r="B174" s="56">
        <v>44121605</v>
      </c>
      <c r="C174" s="21" t="s">
        <v>113</v>
      </c>
      <c r="D174" s="49" t="s">
        <v>25</v>
      </c>
      <c r="E174" s="57" t="s">
        <v>51</v>
      </c>
      <c r="F174" s="57" t="s">
        <v>51</v>
      </c>
      <c r="G174" s="54">
        <v>137</v>
      </c>
      <c r="H174" s="54">
        <v>5</v>
      </c>
      <c r="I174" s="54">
        <v>132</v>
      </c>
      <c r="J174" s="58" t="s">
        <v>28</v>
      </c>
      <c r="K174" s="59">
        <v>108.56</v>
      </c>
      <c r="L174" s="53">
        <f t="shared" si="8"/>
        <v>14329.92</v>
      </c>
    </row>
    <row r="175" spans="2:12" s="31" customFormat="1" x14ac:dyDescent="0.3">
      <c r="B175" s="56">
        <v>44122016</v>
      </c>
      <c r="C175" s="21" t="s">
        <v>220</v>
      </c>
      <c r="D175" s="49" t="s">
        <v>25</v>
      </c>
      <c r="E175" s="57" t="s">
        <v>51</v>
      </c>
      <c r="F175" s="57" t="s">
        <v>51</v>
      </c>
      <c r="G175" s="54">
        <v>6</v>
      </c>
      <c r="H175" s="54">
        <v>0</v>
      </c>
      <c r="I175" s="54">
        <v>6</v>
      </c>
      <c r="J175" s="58" t="s">
        <v>28</v>
      </c>
      <c r="K175" s="59">
        <v>150</v>
      </c>
      <c r="L175" s="53">
        <f t="shared" si="8"/>
        <v>900</v>
      </c>
    </row>
    <row r="176" spans="2:12" s="31" customFormat="1" x14ac:dyDescent="0.3">
      <c r="B176" s="56">
        <v>44111509</v>
      </c>
      <c r="C176" s="21" t="s">
        <v>196</v>
      </c>
      <c r="D176" s="49" t="s">
        <v>25</v>
      </c>
      <c r="E176" s="57">
        <v>44151</v>
      </c>
      <c r="F176" s="57">
        <v>44151</v>
      </c>
      <c r="G176" s="54">
        <v>98</v>
      </c>
      <c r="H176" s="54">
        <v>0</v>
      </c>
      <c r="I176" s="54">
        <v>98</v>
      </c>
      <c r="J176" s="58" t="s">
        <v>28</v>
      </c>
      <c r="K176" s="89">
        <v>32</v>
      </c>
      <c r="L176" s="53">
        <f t="shared" si="8"/>
        <v>3136</v>
      </c>
    </row>
    <row r="177" spans="2:12" s="31" customFormat="1" x14ac:dyDescent="0.3">
      <c r="B177" s="56">
        <v>44121713</v>
      </c>
      <c r="C177" s="21" t="s">
        <v>161</v>
      </c>
      <c r="D177" s="49" t="s">
        <v>25</v>
      </c>
      <c r="E177" s="57">
        <v>44148</v>
      </c>
      <c r="F177" s="57">
        <v>44148</v>
      </c>
      <c r="G177" s="60">
        <v>84</v>
      </c>
      <c r="H177" s="54">
        <v>0</v>
      </c>
      <c r="I177" s="54">
        <v>84</v>
      </c>
      <c r="J177" s="58" t="s">
        <v>38</v>
      </c>
      <c r="K177" s="59">
        <v>425</v>
      </c>
      <c r="L177" s="53">
        <f t="shared" si="8"/>
        <v>35700</v>
      </c>
    </row>
    <row r="178" spans="2:12" s="31" customFormat="1" x14ac:dyDescent="0.3">
      <c r="B178" s="56">
        <v>44122005</v>
      </c>
      <c r="C178" s="21" t="s">
        <v>101</v>
      </c>
      <c r="D178" s="49" t="s">
        <v>25</v>
      </c>
      <c r="E178" s="57">
        <v>43914</v>
      </c>
      <c r="F178" s="57">
        <v>43914</v>
      </c>
      <c r="G178" s="54">
        <v>43</v>
      </c>
      <c r="H178" s="54">
        <v>0</v>
      </c>
      <c r="I178" s="54">
        <v>43</v>
      </c>
      <c r="J178" s="58" t="s">
        <v>33</v>
      </c>
      <c r="K178" s="59">
        <v>300</v>
      </c>
      <c r="L178" s="53">
        <f t="shared" si="8"/>
        <v>12900</v>
      </c>
    </row>
    <row r="179" spans="2:12" s="31" customFormat="1" x14ac:dyDescent="0.3">
      <c r="B179" s="56" t="s">
        <v>148</v>
      </c>
      <c r="C179" s="21" t="s">
        <v>149</v>
      </c>
      <c r="D179" s="49" t="s">
        <v>25</v>
      </c>
      <c r="E179" s="57">
        <v>43914</v>
      </c>
      <c r="F179" s="57">
        <v>43914</v>
      </c>
      <c r="G179" s="54">
        <v>42</v>
      </c>
      <c r="H179" s="54"/>
      <c r="I179" s="54">
        <v>42</v>
      </c>
      <c r="J179" s="58" t="s">
        <v>33</v>
      </c>
      <c r="K179" s="59">
        <v>460</v>
      </c>
      <c r="L179" s="53">
        <f t="shared" si="8"/>
        <v>19320</v>
      </c>
    </row>
    <row r="180" spans="2:12" s="31" customFormat="1" x14ac:dyDescent="0.3">
      <c r="B180" s="56">
        <v>14111515</v>
      </c>
      <c r="C180" s="21" t="s">
        <v>206</v>
      </c>
      <c r="D180" s="49" t="s">
        <v>25</v>
      </c>
      <c r="E180" s="57">
        <v>43817</v>
      </c>
      <c r="F180" s="57">
        <v>43817</v>
      </c>
      <c r="G180" s="54">
        <v>12</v>
      </c>
      <c r="H180" s="54">
        <v>6</v>
      </c>
      <c r="I180" s="54">
        <v>6</v>
      </c>
      <c r="J180" s="58" t="s">
        <v>28</v>
      </c>
      <c r="K180" s="59">
        <v>37.996000000000002</v>
      </c>
      <c r="L180" s="53">
        <f>I180*K180</f>
        <v>227.976</v>
      </c>
    </row>
    <row r="181" spans="2:12" s="31" customFormat="1" x14ac:dyDescent="0.3">
      <c r="B181" s="56" t="s">
        <v>76</v>
      </c>
      <c r="C181" s="21" t="s">
        <v>77</v>
      </c>
      <c r="D181" s="49" t="s">
        <v>25</v>
      </c>
      <c r="E181" s="57">
        <v>43510</v>
      </c>
      <c r="F181" s="57">
        <v>43510</v>
      </c>
      <c r="G181" s="54">
        <v>23</v>
      </c>
      <c r="H181" s="54">
        <v>0</v>
      </c>
      <c r="I181" s="54">
        <v>23</v>
      </c>
      <c r="J181" s="58" t="s">
        <v>28</v>
      </c>
      <c r="K181" s="59">
        <v>70.8</v>
      </c>
      <c r="L181" s="53">
        <f t="shared" si="8"/>
        <v>1628.3999999999999</v>
      </c>
    </row>
    <row r="182" spans="2:12" s="31" customFormat="1" x14ac:dyDescent="0.3">
      <c r="B182" s="56" t="s">
        <v>80</v>
      </c>
      <c r="C182" s="21" t="s">
        <v>81</v>
      </c>
      <c r="D182" s="49" t="s">
        <v>25</v>
      </c>
      <c r="E182" s="57">
        <v>43418</v>
      </c>
      <c r="F182" s="57">
        <v>43418</v>
      </c>
      <c r="G182" s="60">
        <v>5</v>
      </c>
      <c r="H182" s="54">
        <v>0</v>
      </c>
      <c r="I182" s="54">
        <v>5</v>
      </c>
      <c r="J182" s="58" t="s">
        <v>82</v>
      </c>
      <c r="K182" s="89">
        <v>130</v>
      </c>
      <c r="L182" s="53">
        <f t="shared" si="8"/>
        <v>650</v>
      </c>
    </row>
    <row r="183" spans="2:12" s="31" customFormat="1" x14ac:dyDescent="0.3">
      <c r="B183" s="56" t="s">
        <v>80</v>
      </c>
      <c r="C183" s="21" t="s">
        <v>83</v>
      </c>
      <c r="D183" s="49" t="s">
        <v>25</v>
      </c>
      <c r="E183" s="57">
        <v>43418</v>
      </c>
      <c r="F183" s="57">
        <v>43418</v>
      </c>
      <c r="G183" s="60">
        <v>60</v>
      </c>
      <c r="H183" s="54">
        <v>0</v>
      </c>
      <c r="I183" s="54">
        <v>60</v>
      </c>
      <c r="J183" s="58" t="s">
        <v>82</v>
      </c>
      <c r="K183" s="59">
        <v>100</v>
      </c>
      <c r="L183" s="53">
        <f t="shared" si="8"/>
        <v>6000</v>
      </c>
    </row>
    <row r="184" spans="2:12" s="31" customFormat="1" x14ac:dyDescent="0.3">
      <c r="B184" s="50">
        <v>44103103</v>
      </c>
      <c r="C184" s="21" t="s">
        <v>65</v>
      </c>
      <c r="D184" s="49" t="s">
        <v>25</v>
      </c>
      <c r="E184" s="57">
        <v>43248</v>
      </c>
      <c r="F184" s="57">
        <v>43248</v>
      </c>
      <c r="G184" s="54">
        <v>5</v>
      </c>
      <c r="H184" s="54">
        <v>0</v>
      </c>
      <c r="I184" s="54">
        <v>5</v>
      </c>
      <c r="J184" s="58" t="s">
        <v>28</v>
      </c>
      <c r="K184" s="59">
        <v>2036</v>
      </c>
      <c r="L184" s="53">
        <f t="shared" si="8"/>
        <v>10180</v>
      </c>
    </row>
    <row r="185" spans="2:12" s="31" customFormat="1" x14ac:dyDescent="0.3">
      <c r="B185" s="50">
        <v>44103103</v>
      </c>
      <c r="C185" s="21" t="s">
        <v>67</v>
      </c>
      <c r="D185" s="49" t="s">
        <v>25</v>
      </c>
      <c r="E185" s="57">
        <v>43248</v>
      </c>
      <c r="F185" s="57">
        <v>43248</v>
      </c>
      <c r="G185" s="54">
        <v>4</v>
      </c>
      <c r="H185" s="54">
        <v>0</v>
      </c>
      <c r="I185" s="54">
        <v>4</v>
      </c>
      <c r="J185" s="58" t="s">
        <v>28</v>
      </c>
      <c r="K185" s="59">
        <v>1475</v>
      </c>
      <c r="L185" s="53">
        <f t="shared" ref="L185:L190" si="10">I185*K185</f>
        <v>5900</v>
      </c>
    </row>
    <row r="186" spans="2:12" s="31" customFormat="1" x14ac:dyDescent="0.3">
      <c r="B186" s="50">
        <v>44103103</v>
      </c>
      <c r="C186" s="21" t="s">
        <v>68</v>
      </c>
      <c r="D186" s="49" t="s">
        <v>25</v>
      </c>
      <c r="E186" s="57">
        <v>43248</v>
      </c>
      <c r="F186" s="57">
        <v>43248</v>
      </c>
      <c r="G186" s="54">
        <v>5</v>
      </c>
      <c r="H186" s="54">
        <v>0</v>
      </c>
      <c r="I186" s="54">
        <v>5</v>
      </c>
      <c r="J186" s="58" t="s">
        <v>28</v>
      </c>
      <c r="K186" s="59">
        <v>1475</v>
      </c>
      <c r="L186" s="53">
        <f t="shared" si="10"/>
        <v>7375</v>
      </c>
    </row>
    <row r="187" spans="2:12" s="31" customFormat="1" x14ac:dyDescent="0.3">
      <c r="B187" s="50">
        <v>44103103</v>
      </c>
      <c r="C187" s="21" t="s">
        <v>70</v>
      </c>
      <c r="D187" s="49" t="s">
        <v>25</v>
      </c>
      <c r="E187" s="57">
        <v>43248</v>
      </c>
      <c r="F187" s="57">
        <v>43248</v>
      </c>
      <c r="G187" s="54">
        <v>5</v>
      </c>
      <c r="H187" s="54">
        <v>0</v>
      </c>
      <c r="I187" s="54">
        <f t="shared" ref="I187:I188" si="11">+G186-H186</f>
        <v>5</v>
      </c>
      <c r="J187" s="58" t="s">
        <v>28</v>
      </c>
      <c r="K187" s="59">
        <v>1475</v>
      </c>
      <c r="L187" s="53">
        <f t="shared" si="10"/>
        <v>7375</v>
      </c>
    </row>
    <row r="188" spans="2:12" s="31" customFormat="1" x14ac:dyDescent="0.3">
      <c r="B188" s="56" t="s">
        <v>80</v>
      </c>
      <c r="C188" s="21" t="s">
        <v>89</v>
      </c>
      <c r="D188" s="49" t="s">
        <v>25</v>
      </c>
      <c r="E188" s="57">
        <v>43248</v>
      </c>
      <c r="F188" s="57">
        <v>43248</v>
      </c>
      <c r="G188" s="54">
        <v>9</v>
      </c>
      <c r="H188" s="54">
        <v>4</v>
      </c>
      <c r="I188" s="54">
        <f t="shared" si="11"/>
        <v>5</v>
      </c>
      <c r="J188" s="58" t="s">
        <v>82</v>
      </c>
      <c r="K188" s="59">
        <v>170</v>
      </c>
      <c r="L188" s="53">
        <f t="shared" si="10"/>
        <v>850</v>
      </c>
    </row>
    <row r="189" spans="2:12" s="31" customFormat="1" x14ac:dyDescent="0.3">
      <c r="B189" s="56" t="s">
        <v>123</v>
      </c>
      <c r="C189" s="21" t="s">
        <v>126</v>
      </c>
      <c r="D189" s="49" t="s">
        <v>25</v>
      </c>
      <c r="E189" s="57">
        <v>43132</v>
      </c>
      <c r="F189" s="57">
        <v>43132</v>
      </c>
      <c r="G189" s="54">
        <v>2</v>
      </c>
      <c r="H189" s="54">
        <v>0</v>
      </c>
      <c r="I189" s="54">
        <v>2</v>
      </c>
      <c r="J189" s="58" t="s">
        <v>33</v>
      </c>
      <c r="K189" s="59">
        <v>225</v>
      </c>
      <c r="L189" s="53">
        <f t="shared" si="10"/>
        <v>450</v>
      </c>
    </row>
    <row r="190" spans="2:12" s="31" customFormat="1" x14ac:dyDescent="0.3">
      <c r="B190" s="56">
        <v>14111507</v>
      </c>
      <c r="C190" s="21" t="s">
        <v>178</v>
      </c>
      <c r="D190" s="49" t="s">
        <v>25</v>
      </c>
      <c r="E190" s="57">
        <v>43132</v>
      </c>
      <c r="F190" s="57">
        <v>43132</v>
      </c>
      <c r="G190" s="54">
        <v>16</v>
      </c>
      <c r="H190" s="54">
        <v>0</v>
      </c>
      <c r="I190" s="54">
        <v>16</v>
      </c>
      <c r="J190" s="58" t="s">
        <v>177</v>
      </c>
      <c r="K190" s="59">
        <v>230</v>
      </c>
      <c r="L190" s="53">
        <f t="shared" si="10"/>
        <v>3680</v>
      </c>
    </row>
    <row r="193" spans="4:12" x14ac:dyDescent="0.3">
      <c r="L193" s="83">
        <f>SUM(L8:L192)</f>
        <v>10238554.241</v>
      </c>
    </row>
    <row r="196" spans="4:12" ht="15.6" x14ac:dyDescent="0.3">
      <c r="D196" s="102" t="s">
        <v>349</v>
      </c>
      <c r="E196" s="102"/>
      <c r="J196" s="43" t="s">
        <v>347</v>
      </c>
    </row>
    <row r="197" spans="4:12" x14ac:dyDescent="0.3">
      <c r="D197" s="103" t="s">
        <v>285</v>
      </c>
      <c r="E197" s="103"/>
      <c r="J197" s="44" t="s">
        <v>350</v>
      </c>
    </row>
    <row r="198" spans="4:12" x14ac:dyDescent="0.3">
      <c r="D198" s="117" t="s">
        <v>351</v>
      </c>
      <c r="E198" s="117"/>
      <c r="J198" s="45" t="s">
        <v>348</v>
      </c>
    </row>
    <row r="199" spans="4:12" x14ac:dyDescent="0.3">
      <c r="D199" s="116" t="s">
        <v>288</v>
      </c>
      <c r="E199" s="116"/>
      <c r="H199" s="87"/>
      <c r="J199" s="44" t="s">
        <v>288</v>
      </c>
    </row>
    <row r="202" spans="4:12" ht="18.600000000000001" customHeight="1" x14ac:dyDescent="0.3">
      <c r="F202" s="114" t="s">
        <v>354</v>
      </c>
      <c r="G202" s="114"/>
      <c r="H202" s="114"/>
      <c r="I202" s="114"/>
    </row>
    <row r="203" spans="4:12" ht="15.6" customHeight="1" x14ac:dyDescent="0.3">
      <c r="F203" s="115" t="s">
        <v>355</v>
      </c>
      <c r="G203" s="115"/>
      <c r="H203" s="115"/>
      <c r="I203" s="115"/>
    </row>
    <row r="204" spans="4:12" x14ac:dyDescent="0.3">
      <c r="F204" s="118" t="s">
        <v>356</v>
      </c>
      <c r="G204" s="118"/>
      <c r="H204" s="118"/>
      <c r="I204" s="118"/>
    </row>
  </sheetData>
  <sortState xmlns:xlrd2="http://schemas.microsoft.com/office/spreadsheetml/2017/richdata2" ref="B8:L190">
    <sortCondition descending="1" ref="E14:E190"/>
  </sortState>
  <mergeCells count="10">
    <mergeCell ref="F202:I202"/>
    <mergeCell ref="F203:I203"/>
    <mergeCell ref="F204:I204"/>
    <mergeCell ref="D199:E199"/>
    <mergeCell ref="D196:E196"/>
    <mergeCell ref="D197:E197"/>
    <mergeCell ref="D198:E198"/>
    <mergeCell ref="D3:K3"/>
    <mergeCell ref="D4:K4"/>
    <mergeCell ref="D5:K5"/>
  </mergeCells>
  <phoneticPr fontId="14" type="noConversion"/>
  <conditionalFormatting sqref="D196:D199">
    <cfRule type="duplicateValues" dxfId="1" priority="3"/>
    <cfRule type="duplicateValues" dxfId="0" priority="4"/>
  </conditionalFormatting>
  <dataValidations count="1">
    <dataValidation type="whole" operator="greaterThan" allowBlank="1" showInputMessage="1" showErrorMessage="1" sqref="B7 B9:B11 B20:B22 B24:B33 B35:B37 B39:B41 B43:B45 B47:B49 B51:B53 B55:B57 B59:B61 B63:B65 B72:B73 B16:B18 B13:B14 B67:B70 B79:B190" xr:uid="{8C212CC7-E608-446A-9A5F-7A23CDB6C837}">
      <formula1>0</formula1>
    </dataValidation>
  </dataValidations>
  <pageMargins left="0.7" right="0.7" top="0.75" bottom="0.75" header="0.3" footer="0.3"/>
  <pageSetup paperSize="5" scale="60" fitToHeight="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E503-ECBC-4AC6-BE9D-94927D8180E3}">
  <dimension ref="A1"/>
  <sheetViews>
    <sheetView topLeftCell="A4" workbookViewId="0">
      <selection activeCell="E10" sqref="E10:E14"/>
    </sheetView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6DC5-D948-4123-BAF4-95629BA9366C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59A2-271A-47B2-80ED-C6952D4681EF}">
  <dimension ref="A1"/>
  <sheetViews>
    <sheetView workbookViewId="0"/>
  </sheetViews>
  <sheetFormatPr baseColWidth="10" defaultColWidth="10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3b5504-0b32-4ffb-bcb3-3e304877f5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4116C33A28A4FA5D335E80912C077" ma:contentTypeVersion="8" ma:contentTypeDescription="Create a new document." ma:contentTypeScope="" ma:versionID="e5fac71ce6bf48af5b554878a2355a61">
  <xsd:schema xmlns:xsd="http://www.w3.org/2001/XMLSchema" xmlns:xs="http://www.w3.org/2001/XMLSchema" xmlns:p="http://schemas.microsoft.com/office/2006/metadata/properties" xmlns:ns3="ce3b5504-0b32-4ffb-bcb3-3e304877f5e0" xmlns:ns4="65c40163-5068-4d57-9b03-5ce43ad00510" targetNamespace="http://schemas.microsoft.com/office/2006/metadata/properties" ma:root="true" ma:fieldsID="e77c1643149960d7ba4e8aa1c6e30dcf" ns3:_="" ns4:_="">
    <xsd:import namespace="ce3b5504-0b32-4ffb-bcb3-3e304877f5e0"/>
    <xsd:import namespace="65c40163-5068-4d57-9b03-5ce43ad005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b5504-0b32-4ffb-bcb3-3e304877f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40163-5068-4d57-9b03-5ce43ad00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4897D-9403-4862-8BB9-2ABC7E81E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43450-70C2-43D8-9F1A-9C6B4B38878C}">
  <ds:schemaRefs>
    <ds:schemaRef ds:uri="http://schemas.microsoft.com/office/2006/metadata/properties"/>
    <ds:schemaRef ds:uri="http://schemas.microsoft.com/office/infopath/2007/PartnerControls"/>
    <ds:schemaRef ds:uri="ce3b5504-0b32-4ffb-bcb3-3e304877f5e0"/>
  </ds:schemaRefs>
</ds:datastoreItem>
</file>

<file path=customXml/itemProps3.xml><?xml version="1.0" encoding="utf-8"?>
<ds:datastoreItem xmlns:ds="http://schemas.openxmlformats.org/officeDocument/2006/customXml" ds:itemID="{A2281E54-5A69-48D5-AEF4-5D001FC2D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b5504-0b32-4ffb-bcb3-3e304877f5e0"/>
    <ds:schemaRef ds:uri="65c40163-5068-4d57-9b03-5ce43ad005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Mats+Insumos</vt:lpstr>
      <vt:lpstr>Matriz E-S</vt:lpstr>
      <vt:lpstr>Para Rocio Cierre</vt:lpstr>
      <vt:lpstr>Hoja3</vt:lpstr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Castro - ogtic</dc:creator>
  <cp:keywords/>
  <dc:description/>
  <cp:lastModifiedBy>Rocio Rodríguez De La Rosa</cp:lastModifiedBy>
  <cp:revision/>
  <cp:lastPrinted>2024-04-08T16:14:06Z</cp:lastPrinted>
  <dcterms:created xsi:type="dcterms:W3CDTF">2023-08-24T13:07:14Z</dcterms:created>
  <dcterms:modified xsi:type="dcterms:W3CDTF">2024-04-08T18:27:05Z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0x010100B864116C33A28A4FA5D335E80912C077</vt:lpwstr>
  </property>
</Properties>
</file>